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062-02\Desktop\"/>
    </mc:Choice>
  </mc:AlternateContent>
  <bookViews>
    <workbookView xWindow="0" yWindow="0" windowWidth="20400" windowHeight="7755" activeTab="1"/>
  </bookViews>
  <sheets>
    <sheet name="Datos Estudiantes" sheetId="4" r:id="rId1"/>
    <sheet name="Planilla Notas" sheetId="3" r:id="rId2"/>
    <sheet name="Informe estudiante" sheetId="5" r:id="rId3"/>
  </sheets>
  <definedNames>
    <definedName name="datosestudiantes">'Datos Estudiantes'!$1:$1048576</definedName>
    <definedName name="planilladenotas">'Planilla Notas'!$1:$1048576</definedName>
  </definedNames>
  <calcPr calcId="152511"/>
</workbook>
</file>

<file path=xl/calcChain.xml><?xml version="1.0" encoding="utf-8"?>
<calcChain xmlns="http://schemas.openxmlformats.org/spreadsheetml/2006/main">
  <c r="R14" i="3" l="1"/>
  <c r="M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J14" i="3"/>
  <c r="I14" i="3"/>
  <c r="H14" i="3"/>
  <c r="G14" i="3"/>
  <c r="F14" i="3"/>
  <c r="E14" i="3"/>
  <c r="K14" i="3" s="1"/>
  <c r="L14" i="3" s="1"/>
  <c r="D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14" i="3"/>
  <c r="U15" i="3"/>
  <c r="V15" i="3" s="1"/>
  <c r="U16" i="3"/>
  <c r="V16" i="3" s="1"/>
  <c r="U17" i="3"/>
  <c r="V17" i="3" s="1"/>
  <c r="U18" i="3"/>
  <c r="V18" i="3" s="1"/>
  <c r="U19" i="3"/>
  <c r="V19" i="3" s="1"/>
  <c r="U20" i="3"/>
  <c r="V20" i="3" s="1"/>
  <c r="U21" i="3"/>
  <c r="V21" i="3" s="1"/>
  <c r="U22" i="3"/>
  <c r="V22" i="3" s="1"/>
  <c r="U23" i="3"/>
  <c r="V23" i="3" s="1"/>
  <c r="U24" i="3"/>
  <c r="V24" i="3" s="1"/>
  <c r="U25" i="3"/>
  <c r="V25" i="3" s="1"/>
  <c r="U26" i="3"/>
  <c r="V26" i="3" s="1"/>
  <c r="U27" i="3"/>
  <c r="V27" i="3" s="1"/>
  <c r="U28" i="3"/>
  <c r="V28" i="3" s="1"/>
  <c r="U29" i="3"/>
  <c r="V29" i="3" s="1"/>
  <c r="U30" i="3"/>
  <c r="V30" i="3" s="1"/>
  <c r="U31" i="3"/>
  <c r="V31" i="3" s="1"/>
  <c r="U14" i="3"/>
  <c r="V14" i="3" s="1"/>
  <c r="S15" i="3"/>
  <c r="T15" i="3" s="1"/>
  <c r="S16" i="3"/>
  <c r="T16" i="3" s="1"/>
  <c r="S17" i="3"/>
  <c r="T17" i="3" s="1"/>
  <c r="S18" i="3"/>
  <c r="T18" i="3" s="1"/>
  <c r="S19" i="3"/>
  <c r="T19" i="3" s="1"/>
  <c r="S20" i="3"/>
  <c r="T20" i="3" s="1"/>
  <c r="S21" i="3"/>
  <c r="T21" i="3" s="1"/>
  <c r="S22" i="3"/>
  <c r="T22" i="3" s="1"/>
  <c r="S23" i="3"/>
  <c r="T23" i="3" s="1"/>
  <c r="S24" i="3"/>
  <c r="T24" i="3" s="1"/>
  <c r="S25" i="3"/>
  <c r="T25" i="3" s="1"/>
  <c r="S26" i="3"/>
  <c r="T26" i="3" s="1"/>
  <c r="S27" i="3"/>
  <c r="T27" i="3" s="1"/>
  <c r="S28" i="3"/>
  <c r="T28" i="3" s="1"/>
  <c r="S29" i="3"/>
  <c r="T29" i="3" s="1"/>
  <c r="S30" i="3"/>
  <c r="T30" i="3" s="1"/>
  <c r="S31" i="3"/>
  <c r="T31" i="3" s="1"/>
  <c r="S14" i="3"/>
  <c r="T14" i="3" s="1"/>
  <c r="Q15" i="3"/>
  <c r="R15" i="3" s="1"/>
  <c r="Q16" i="3"/>
  <c r="R16" i="3" s="1"/>
  <c r="Q17" i="3"/>
  <c r="R17" i="3" s="1"/>
  <c r="Q18" i="3"/>
  <c r="R18" i="3" s="1"/>
  <c r="Q19" i="3"/>
  <c r="R19" i="3" s="1"/>
  <c r="Q20" i="3"/>
  <c r="R20" i="3" s="1"/>
  <c r="Q21" i="3"/>
  <c r="R21" i="3" s="1"/>
  <c r="Q22" i="3"/>
  <c r="R22" i="3" s="1"/>
  <c r="Q23" i="3"/>
  <c r="R23" i="3" s="1"/>
  <c r="Q24" i="3"/>
  <c r="R24" i="3" s="1"/>
  <c r="Q25" i="3"/>
  <c r="R25" i="3" s="1"/>
  <c r="Q26" i="3"/>
  <c r="R26" i="3" s="1"/>
  <c r="Q27" i="3"/>
  <c r="R27" i="3" s="1"/>
  <c r="Q28" i="3"/>
  <c r="R28" i="3" s="1"/>
  <c r="Q29" i="3"/>
  <c r="R29" i="3" s="1"/>
  <c r="Q30" i="3"/>
  <c r="R30" i="3" s="1"/>
  <c r="Q31" i="3"/>
  <c r="R31" i="3" s="1"/>
  <c r="Q14" i="3"/>
  <c r="O15" i="3"/>
  <c r="P15" i="3" s="1"/>
  <c r="O16" i="3"/>
  <c r="P16" i="3" s="1"/>
  <c r="O17" i="3"/>
  <c r="P17" i="3" s="1"/>
  <c r="O18" i="3"/>
  <c r="P18" i="3" s="1"/>
  <c r="O19" i="3"/>
  <c r="P19" i="3" s="1"/>
  <c r="O20" i="3"/>
  <c r="P20" i="3" s="1"/>
  <c r="O21" i="3"/>
  <c r="P21" i="3" s="1"/>
  <c r="O22" i="3"/>
  <c r="P22" i="3" s="1"/>
  <c r="O23" i="3"/>
  <c r="P23" i="3" s="1"/>
  <c r="O24" i="3"/>
  <c r="P24" i="3" s="1"/>
  <c r="O25" i="3"/>
  <c r="P25" i="3" s="1"/>
  <c r="O26" i="3"/>
  <c r="P26" i="3" s="1"/>
  <c r="O27" i="3"/>
  <c r="P27" i="3" s="1"/>
  <c r="O28" i="3"/>
  <c r="P28" i="3" s="1"/>
  <c r="O29" i="3"/>
  <c r="P29" i="3" s="1"/>
  <c r="O30" i="3"/>
  <c r="P30" i="3" s="1"/>
  <c r="O31" i="3"/>
  <c r="P31" i="3" s="1"/>
  <c r="O14" i="3"/>
  <c r="P14" i="3" s="1"/>
  <c r="M15" i="3"/>
  <c r="N15" i="3" s="1"/>
  <c r="M16" i="3"/>
  <c r="N16" i="3" s="1"/>
  <c r="M17" i="3"/>
  <c r="N17" i="3" s="1"/>
  <c r="M18" i="3"/>
  <c r="N18" i="3" s="1"/>
  <c r="M19" i="3"/>
  <c r="N19" i="3" s="1"/>
  <c r="M20" i="3"/>
  <c r="N20" i="3" s="1"/>
  <c r="M21" i="3"/>
  <c r="N21" i="3" s="1"/>
  <c r="M22" i="3"/>
  <c r="N22" i="3" s="1"/>
  <c r="M23" i="3"/>
  <c r="N23" i="3" s="1"/>
  <c r="M24" i="3"/>
  <c r="N24" i="3" s="1"/>
  <c r="M25" i="3"/>
  <c r="N25" i="3" s="1"/>
  <c r="M26" i="3"/>
  <c r="N26" i="3" s="1"/>
  <c r="M27" i="3"/>
  <c r="N27" i="3" s="1"/>
  <c r="M28" i="3"/>
  <c r="N28" i="3" s="1"/>
  <c r="M29" i="3"/>
  <c r="N29" i="3" s="1"/>
  <c r="M30" i="3"/>
  <c r="N30" i="3" s="1"/>
  <c r="M31" i="3"/>
  <c r="N31" i="3" s="1"/>
  <c r="N14" i="3" l="1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14" i="3"/>
  <c r="D7" i="5" s="1"/>
  <c r="E15" i="3"/>
  <c r="F15" i="3"/>
  <c r="G15" i="3"/>
  <c r="H15" i="3"/>
  <c r="I15" i="3"/>
  <c r="J15" i="3"/>
  <c r="E16" i="3"/>
  <c r="F16" i="3"/>
  <c r="G16" i="3"/>
  <c r="H16" i="3"/>
  <c r="I16" i="3"/>
  <c r="J16" i="3"/>
  <c r="E17" i="3"/>
  <c r="F17" i="3"/>
  <c r="G17" i="3"/>
  <c r="H17" i="3"/>
  <c r="I17" i="3"/>
  <c r="J17" i="3"/>
  <c r="E18" i="3"/>
  <c r="F18" i="3"/>
  <c r="G18" i="3"/>
  <c r="H18" i="3"/>
  <c r="I18" i="3"/>
  <c r="J18" i="3"/>
  <c r="E19" i="3"/>
  <c r="F19" i="3"/>
  <c r="G19" i="3"/>
  <c r="H19" i="3"/>
  <c r="I19" i="3"/>
  <c r="J19" i="3"/>
  <c r="E20" i="3"/>
  <c r="F20" i="3"/>
  <c r="G20" i="3"/>
  <c r="H20" i="3"/>
  <c r="I20" i="3"/>
  <c r="J20" i="3"/>
  <c r="E21" i="3"/>
  <c r="F21" i="3"/>
  <c r="G21" i="3"/>
  <c r="H21" i="3"/>
  <c r="I21" i="3"/>
  <c r="J21" i="3"/>
  <c r="E22" i="3"/>
  <c r="F22" i="3"/>
  <c r="G22" i="3"/>
  <c r="H22" i="3"/>
  <c r="I22" i="3"/>
  <c r="J22" i="3"/>
  <c r="E23" i="3"/>
  <c r="F23" i="3"/>
  <c r="G23" i="3"/>
  <c r="H23" i="3"/>
  <c r="I23" i="3"/>
  <c r="J23" i="3"/>
  <c r="E24" i="3"/>
  <c r="F24" i="3"/>
  <c r="G24" i="3"/>
  <c r="H24" i="3"/>
  <c r="I24" i="3"/>
  <c r="J24" i="3"/>
  <c r="E25" i="3"/>
  <c r="F25" i="3"/>
  <c r="G25" i="3"/>
  <c r="H25" i="3"/>
  <c r="I25" i="3"/>
  <c r="J25" i="3"/>
  <c r="E26" i="3"/>
  <c r="F26" i="3"/>
  <c r="G26" i="3"/>
  <c r="H26" i="3"/>
  <c r="I26" i="3"/>
  <c r="J26" i="3"/>
  <c r="E27" i="3"/>
  <c r="F27" i="3"/>
  <c r="G27" i="3"/>
  <c r="H27" i="3"/>
  <c r="I27" i="3"/>
  <c r="J27" i="3"/>
  <c r="E28" i="3"/>
  <c r="F28" i="3"/>
  <c r="G28" i="3"/>
  <c r="H28" i="3"/>
  <c r="I28" i="3"/>
  <c r="J28" i="3"/>
  <c r="E29" i="3"/>
  <c r="F29" i="3"/>
  <c r="G29" i="3"/>
  <c r="H29" i="3"/>
  <c r="I29" i="3"/>
  <c r="J29" i="3"/>
  <c r="E30" i="3"/>
  <c r="F30" i="3"/>
  <c r="G30" i="3"/>
  <c r="H30" i="3"/>
  <c r="I30" i="3"/>
  <c r="J30" i="3"/>
  <c r="E31" i="3"/>
  <c r="F31" i="3"/>
  <c r="G31" i="3"/>
  <c r="H31" i="3"/>
  <c r="I31" i="3"/>
  <c r="J31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W31" i="3" l="1"/>
  <c r="X31" i="3" s="1"/>
  <c r="W27" i="3"/>
  <c r="X27" i="3" s="1"/>
  <c r="W23" i="3"/>
  <c r="X23" i="3" s="1"/>
  <c r="W15" i="3"/>
  <c r="X15" i="3" s="1"/>
  <c r="W19" i="3"/>
  <c r="X19" i="3" s="1"/>
  <c r="W30" i="3"/>
  <c r="X30" i="3" s="1"/>
  <c r="W28" i="3"/>
  <c r="X28" i="3" s="1"/>
  <c r="W26" i="3"/>
  <c r="X26" i="3" s="1"/>
  <c r="W24" i="3"/>
  <c r="X24" i="3" s="1"/>
  <c r="W22" i="3"/>
  <c r="X22" i="3" s="1"/>
  <c r="W20" i="3"/>
  <c r="X20" i="3" s="1"/>
  <c r="W18" i="3"/>
  <c r="X18" i="3" s="1"/>
  <c r="W16" i="3"/>
  <c r="X16" i="3" s="1"/>
  <c r="W29" i="3"/>
  <c r="X29" i="3" s="1"/>
  <c r="W25" i="3"/>
  <c r="X25" i="3" s="1"/>
  <c r="W21" i="3"/>
  <c r="X21" i="3" s="1"/>
  <c r="W17" i="3"/>
  <c r="X17" i="3" s="1"/>
  <c r="W14" i="3"/>
  <c r="X37" i="3" l="1"/>
  <c r="X36" i="3"/>
  <c r="X38" i="3"/>
  <c r="X14" i="3"/>
</calcChain>
</file>

<file path=xl/sharedStrings.xml><?xml version="1.0" encoding="utf-8"?>
<sst xmlns="http://schemas.openxmlformats.org/spreadsheetml/2006/main" count="60" uniqueCount="47">
  <si>
    <t>DEISY HERRERA</t>
  </si>
  <si>
    <t>LINA JARAMILLO</t>
  </si>
  <si>
    <t>DEISY BUSTAMANTE</t>
  </si>
  <si>
    <t>ROBINSON VARGAS</t>
  </si>
  <si>
    <t>CARLOS JARAMILLO</t>
  </si>
  <si>
    <t>ELEANY TRUJILLO</t>
  </si>
  <si>
    <t>OSMAIRA VELEZ</t>
  </si>
  <si>
    <t>PABLO GOMEZ</t>
  </si>
  <si>
    <t>ALEJANDRO SEPULVEDA</t>
  </si>
  <si>
    <t>JOSE CIFUENTES</t>
  </si>
  <si>
    <t>JHON TOBON</t>
  </si>
  <si>
    <t>CLAUDIA MONTES</t>
  </si>
  <si>
    <t>SANDRA MONTOYA</t>
  </si>
  <si>
    <t>CESAR GUARIN</t>
  </si>
  <si>
    <t>CARLOS VERGARA</t>
  </si>
  <si>
    <t>LAURA GONZALEZ</t>
  </si>
  <si>
    <t>DIEGO GONZALEZ</t>
  </si>
  <si>
    <t>DIANA VALENCIA</t>
  </si>
  <si>
    <t>JOSE DAVID VERGARA</t>
  </si>
  <si>
    <t>FREDY MONTES</t>
  </si>
  <si>
    <t>PARCIAL I</t>
  </si>
  <si>
    <t>PARCIAL II</t>
  </si>
  <si>
    <t xml:space="preserve">PLANILLA DE NOTAS PRIMER SEMESTRE </t>
  </si>
  <si>
    <t>COEVALUCIÓN</t>
  </si>
  <si>
    <t>FINAL I</t>
  </si>
  <si>
    <t>FINAL II</t>
  </si>
  <si>
    <t xml:space="preserve">PERIODO 2-2012 </t>
  </si>
  <si>
    <t>SEMESTRE I</t>
  </si>
  <si>
    <t xml:space="preserve">SEGUIMIENTOS  </t>
  </si>
  <si>
    <t>VALOR</t>
  </si>
  <si>
    <t xml:space="preserve">VALOR </t>
  </si>
  <si>
    <t>ESTUDIANTES</t>
  </si>
  <si>
    <t>Def Seg</t>
  </si>
  <si>
    <t>DEF</t>
  </si>
  <si>
    <t>codigo</t>
  </si>
  <si>
    <t>Nombre</t>
  </si>
  <si>
    <t>Seguimiento</t>
  </si>
  <si>
    <t>I parcial</t>
  </si>
  <si>
    <t>Examen final</t>
  </si>
  <si>
    <t>Coevaluacion</t>
  </si>
  <si>
    <t>Definitiva</t>
  </si>
  <si>
    <t>INFOMRE DE NOTAS</t>
  </si>
  <si>
    <t>VAL</t>
  </si>
  <si>
    <t>OBSERVACION</t>
  </si>
  <si>
    <t>PROMEDIO</t>
  </si>
  <si>
    <t>MINIMA</t>
  </si>
  <si>
    <t>MAXIMA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</si>
</sst>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2"/>
      <color theme="5"/>
      <name val="Calibri"/>
      <family val="2"/>
      <scheme val="minor"/>
    </font>
    <font>
      <b/>
      <u/>
      <sz val="12"/>
      <color theme="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theme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/>
    <xf numFmtId="0" fontId="4" fillId="0" borderId="0" xfId="0" applyFont="1" applyBorder="1"/>
    <xf numFmtId="0" fontId="4" fillId="0" borderId="1" xfId="0" applyFont="1" applyBorder="1"/>
    <xf numFmtId="0" fontId="4" fillId="0" borderId="0" xfId="0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9" fontId="4" fillId="0" borderId="0" xfId="0" applyNumberFormat="1" applyFont="1"/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9" fontId="0" fillId="0" borderId="0" xfId="0" applyNumberFormat="1" applyBorder="1" applyAlignment="1">
      <alignment horizontal="center" vertical="center"/>
    </xf>
    <xf numFmtId="0" fontId="0" fillId="3" borderId="0" xfId="0" applyFill="1"/>
    <xf numFmtId="9" fontId="3" fillId="0" borderId="7" xfId="0" applyNumberFormat="1" applyFont="1" applyBorder="1" applyAlignment="1">
      <alignment horizontal="center" vertical="center"/>
    </xf>
    <xf numFmtId="9" fontId="0" fillId="0" borderId="7" xfId="0" applyNumberForma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4" fillId="0" borderId="6" xfId="0" applyNumberFormat="1" applyFont="1" applyBorder="1"/>
    <xf numFmtId="164" fontId="9" fillId="0" borderId="6" xfId="0" applyNumberFormat="1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0" fontId="5" fillId="0" borderId="8" xfId="0" applyFont="1" applyBorder="1"/>
    <xf numFmtId="0" fontId="10" fillId="0" borderId="9" xfId="0" applyFont="1" applyBorder="1"/>
    <xf numFmtId="0" fontId="5" fillId="0" borderId="10" xfId="0" applyFont="1" applyBorder="1"/>
    <xf numFmtId="0" fontId="10" fillId="0" borderId="11" xfId="0" applyFont="1" applyBorder="1"/>
    <xf numFmtId="164" fontId="5" fillId="0" borderId="10" xfId="0" applyNumberFormat="1" applyFont="1" applyBorder="1"/>
    <xf numFmtId="0" fontId="11" fillId="0" borderId="11" xfId="0" applyFont="1" applyBorder="1"/>
    <xf numFmtId="0" fontId="5" fillId="0" borderId="12" xfId="0" applyFont="1" applyBorder="1"/>
    <xf numFmtId="0" fontId="10" fillId="0" borderId="13" xfId="0" applyFont="1" applyBorder="1"/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0</xdr:row>
      <xdr:rowOff>0</xdr:rowOff>
    </xdr:from>
    <xdr:to>
      <xdr:col>15</xdr:col>
      <xdr:colOff>10885</xdr:colOff>
      <xdr:row>7</xdr:row>
      <xdr:rowOff>127907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5075" y="0"/>
          <a:ext cx="1925410" cy="152808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2</xdr:col>
      <xdr:colOff>191276</xdr:colOff>
      <xdr:row>3</xdr:row>
      <xdr:rowOff>161925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162951" cy="7619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361951</xdr:colOff>
      <xdr:row>0</xdr:row>
      <xdr:rowOff>0</xdr:rowOff>
    </xdr:from>
    <xdr:ext cx="3062967" cy="1642382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1951" y="0"/>
          <a:ext cx="3062967" cy="164238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</xdr:rowOff>
    </xdr:from>
    <xdr:ext cx="1856402" cy="816428"/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856402" cy="81642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2</xdr:row>
      <xdr:rowOff>85725</xdr:rowOff>
    </xdr:from>
    <xdr:to>
      <xdr:col>2</xdr:col>
      <xdr:colOff>828675</xdr:colOff>
      <xdr:row>4</xdr:row>
      <xdr:rowOff>171450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5" y="466725"/>
          <a:ext cx="771525" cy="466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O35"/>
  <sheetViews>
    <sheetView topLeftCell="A15" workbookViewId="0">
      <selection activeCell="A12" sqref="A12:B13"/>
    </sheetView>
  </sheetViews>
  <sheetFormatPr baseColWidth="10" defaultRowHeight="15.75" x14ac:dyDescent="0.25"/>
  <cols>
    <col min="1" max="1" width="5.7109375" style="1" customWidth="1"/>
    <col min="2" max="2" width="23.85546875" style="1" bestFit="1" customWidth="1"/>
    <col min="3" max="10" width="5.7109375" style="1" customWidth="1"/>
    <col min="11" max="11" width="9.42578125" style="1" bestFit="1" customWidth="1"/>
    <col min="12" max="12" width="10" style="1" bestFit="1" customWidth="1"/>
    <col min="13" max="13" width="7.140625" style="1" bestFit="1" customWidth="1"/>
    <col min="14" max="14" width="7.7109375" style="1" bestFit="1" customWidth="1"/>
    <col min="15" max="15" width="13.85546875" style="1" bestFit="1" customWidth="1"/>
    <col min="16" max="16384" width="11.42578125" style="1"/>
  </cols>
  <sheetData>
    <row r="8" spans="1:15" ht="16.5" thickBot="1" x14ac:dyDescent="0.3"/>
    <row r="9" spans="1:15" ht="15.75" customHeight="1" x14ac:dyDescent="0.25">
      <c r="A9" s="33" t="s">
        <v>22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</row>
    <row r="10" spans="1:15" ht="15.75" customHeight="1" thickBot="1" x14ac:dyDescent="0.3">
      <c r="A10" s="35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</row>
    <row r="11" spans="1:15" ht="14.25" customHeight="1" thickBot="1" x14ac:dyDescent="0.3">
      <c r="A11" s="37" t="s">
        <v>26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</row>
    <row r="12" spans="1:15" ht="15.75" customHeight="1" thickTop="1" thickBot="1" x14ac:dyDescent="0.3">
      <c r="A12" s="38" t="s">
        <v>31</v>
      </c>
      <c r="B12" s="38"/>
      <c r="C12" s="39">
        <v>0.3</v>
      </c>
      <c r="D12" s="39"/>
      <c r="E12" s="39"/>
      <c r="F12" s="39"/>
      <c r="G12" s="39"/>
      <c r="H12" s="39"/>
      <c r="I12" s="39"/>
      <c r="J12" s="39"/>
      <c r="K12" s="16">
        <v>0.2</v>
      </c>
      <c r="L12" s="16">
        <v>0.2</v>
      </c>
      <c r="M12" s="16">
        <v>0.1</v>
      </c>
      <c r="N12" s="16">
        <v>0.1</v>
      </c>
      <c r="O12" s="16">
        <v>0.1</v>
      </c>
    </row>
    <row r="13" spans="1:15" ht="15.75" customHeight="1" thickTop="1" thickBot="1" x14ac:dyDescent="0.3">
      <c r="A13" s="38"/>
      <c r="B13" s="38"/>
      <c r="C13" s="40" t="s">
        <v>28</v>
      </c>
      <c r="D13" s="40"/>
      <c r="E13" s="40"/>
      <c r="F13" s="40"/>
      <c r="G13" s="40"/>
      <c r="H13" s="40"/>
      <c r="I13" s="40"/>
      <c r="J13" s="40"/>
      <c r="K13" s="8" t="s">
        <v>20</v>
      </c>
      <c r="L13" s="8" t="s">
        <v>21</v>
      </c>
      <c r="M13" s="8" t="s">
        <v>24</v>
      </c>
      <c r="N13" s="8" t="s">
        <v>25</v>
      </c>
      <c r="O13" s="8" t="s">
        <v>23</v>
      </c>
    </row>
    <row r="14" spans="1:15" ht="15.75" customHeight="1" thickTop="1" thickBot="1" x14ac:dyDescent="0.3">
      <c r="A14" s="3">
        <v>1</v>
      </c>
      <c r="B14" s="3" t="s">
        <v>8</v>
      </c>
      <c r="C14" s="9">
        <v>4.3</v>
      </c>
      <c r="D14" s="9">
        <v>1.2</v>
      </c>
      <c r="E14" s="9">
        <v>2.9</v>
      </c>
      <c r="F14" s="9">
        <v>4.5</v>
      </c>
      <c r="G14" s="9">
        <v>4.8</v>
      </c>
      <c r="H14" s="9">
        <v>3.9</v>
      </c>
      <c r="I14" s="11">
        <v>4.2</v>
      </c>
      <c r="J14" s="11">
        <v>4</v>
      </c>
      <c r="K14" s="9">
        <v>3.8</v>
      </c>
      <c r="L14" s="9">
        <v>4.3</v>
      </c>
      <c r="M14" s="11">
        <v>3.4</v>
      </c>
      <c r="N14" s="11">
        <v>2.9</v>
      </c>
      <c r="O14" s="9">
        <v>3.5</v>
      </c>
    </row>
    <row r="15" spans="1:15" s="2" customFormat="1" ht="17.25" thickTop="1" thickBot="1" x14ac:dyDescent="0.3">
      <c r="A15" s="3">
        <v>2</v>
      </c>
      <c r="B15" s="3" t="s">
        <v>4</v>
      </c>
      <c r="C15" s="11">
        <v>4</v>
      </c>
      <c r="D15" s="11">
        <v>4.0999999999999996</v>
      </c>
      <c r="E15" s="11">
        <v>3.8</v>
      </c>
      <c r="F15" s="11">
        <v>2.2000000000000002</v>
      </c>
      <c r="G15" s="11">
        <v>1.9</v>
      </c>
      <c r="H15" s="11">
        <v>3</v>
      </c>
      <c r="I15" s="11">
        <v>4.8</v>
      </c>
      <c r="J15" s="11">
        <v>5</v>
      </c>
      <c r="K15" s="11">
        <v>4.5999999999999996</v>
      </c>
      <c r="L15" s="11">
        <v>3.2</v>
      </c>
      <c r="M15" s="11">
        <v>2.5</v>
      </c>
      <c r="N15" s="11">
        <v>4.2</v>
      </c>
      <c r="O15" s="12">
        <v>4</v>
      </c>
    </row>
    <row r="16" spans="1:15" s="2" customFormat="1" ht="17.25" thickTop="1" thickBot="1" x14ac:dyDescent="0.3">
      <c r="A16" s="3">
        <v>3</v>
      </c>
      <c r="B16" s="3" t="s">
        <v>14</v>
      </c>
      <c r="C16" s="11">
        <v>4.5</v>
      </c>
      <c r="D16" s="11">
        <v>3.8</v>
      </c>
      <c r="E16" s="11">
        <v>4.2</v>
      </c>
      <c r="F16" s="11">
        <v>4</v>
      </c>
      <c r="G16" s="11">
        <v>5</v>
      </c>
      <c r="H16" s="11">
        <v>5</v>
      </c>
      <c r="I16" s="11">
        <v>5</v>
      </c>
      <c r="J16" s="11">
        <v>4.8</v>
      </c>
      <c r="K16" s="11">
        <v>4.5</v>
      </c>
      <c r="L16" s="11">
        <v>4.5999999999999996</v>
      </c>
      <c r="M16" s="11">
        <v>3.8</v>
      </c>
      <c r="N16" s="11">
        <v>4.5</v>
      </c>
      <c r="O16" s="11">
        <v>4</v>
      </c>
    </row>
    <row r="17" spans="1:15" ht="17.25" thickTop="1" thickBot="1" x14ac:dyDescent="0.3">
      <c r="A17" s="3">
        <v>4</v>
      </c>
      <c r="B17" s="3" t="s">
        <v>13</v>
      </c>
      <c r="C17" s="11">
        <v>3.5</v>
      </c>
      <c r="D17" s="11">
        <v>4</v>
      </c>
      <c r="E17" s="11">
        <v>4.8</v>
      </c>
      <c r="F17" s="11">
        <v>5</v>
      </c>
      <c r="G17" s="11">
        <v>2.5</v>
      </c>
      <c r="H17" s="11">
        <v>3.9</v>
      </c>
      <c r="I17" s="11">
        <v>3.5</v>
      </c>
      <c r="J17" s="11">
        <v>4.5</v>
      </c>
      <c r="K17" s="11">
        <v>2.9</v>
      </c>
      <c r="L17" s="11">
        <v>3</v>
      </c>
      <c r="M17" s="11">
        <v>4.5</v>
      </c>
      <c r="N17" s="11">
        <v>1</v>
      </c>
      <c r="O17" s="11">
        <v>3.5</v>
      </c>
    </row>
    <row r="18" spans="1:15" ht="17.25" thickTop="1" thickBot="1" x14ac:dyDescent="0.3">
      <c r="A18" s="3">
        <v>5</v>
      </c>
      <c r="B18" s="3" t="s">
        <v>11</v>
      </c>
      <c r="C18" s="11">
        <v>5</v>
      </c>
      <c r="D18" s="11">
        <v>3.9</v>
      </c>
      <c r="E18" s="11">
        <v>5</v>
      </c>
      <c r="F18" s="11">
        <v>4.8</v>
      </c>
      <c r="G18" s="11">
        <v>4.3</v>
      </c>
      <c r="H18" s="11">
        <v>0</v>
      </c>
      <c r="I18" s="11">
        <v>2.2999999999999998</v>
      </c>
      <c r="J18" s="11">
        <v>5</v>
      </c>
      <c r="K18" s="11">
        <v>3.2</v>
      </c>
      <c r="L18" s="11">
        <v>5</v>
      </c>
      <c r="M18" s="11">
        <v>4.5</v>
      </c>
      <c r="N18" s="11">
        <v>5</v>
      </c>
      <c r="O18" s="11">
        <v>3</v>
      </c>
    </row>
    <row r="19" spans="1:15" ht="17.25" thickTop="1" thickBot="1" x14ac:dyDescent="0.3">
      <c r="A19" s="3">
        <v>6</v>
      </c>
      <c r="B19" s="3" t="s">
        <v>2</v>
      </c>
      <c r="C19" s="11">
        <v>3.2</v>
      </c>
      <c r="D19" s="11">
        <v>2.4</v>
      </c>
      <c r="E19" s="11">
        <v>3.5</v>
      </c>
      <c r="F19" s="11">
        <v>4.5</v>
      </c>
      <c r="G19" s="11">
        <v>4.5</v>
      </c>
      <c r="H19" s="11">
        <v>5</v>
      </c>
      <c r="I19" s="11">
        <v>2.9</v>
      </c>
      <c r="J19" s="11">
        <v>1</v>
      </c>
      <c r="K19" s="11">
        <v>4.9000000000000004</v>
      </c>
      <c r="L19" s="11">
        <v>4.3</v>
      </c>
      <c r="M19" s="11">
        <v>4.5</v>
      </c>
      <c r="N19" s="11">
        <v>5</v>
      </c>
      <c r="O19" s="11">
        <v>3.5</v>
      </c>
    </row>
    <row r="20" spans="1:15" ht="17.25" thickTop="1" thickBot="1" x14ac:dyDescent="0.3">
      <c r="A20" s="3">
        <v>7</v>
      </c>
      <c r="B20" s="3" t="s">
        <v>0</v>
      </c>
      <c r="C20" s="11">
        <v>5</v>
      </c>
      <c r="D20" s="11">
        <v>5</v>
      </c>
      <c r="E20" s="11">
        <v>2.2999999999999998</v>
      </c>
      <c r="F20" s="11">
        <v>5</v>
      </c>
      <c r="G20" s="11">
        <v>3.8</v>
      </c>
      <c r="H20" s="11">
        <v>4.8</v>
      </c>
      <c r="I20" s="11">
        <v>4.5999999999999996</v>
      </c>
      <c r="J20" s="11">
        <v>4.5</v>
      </c>
      <c r="K20" s="11">
        <v>2</v>
      </c>
      <c r="L20" s="11">
        <v>5</v>
      </c>
      <c r="M20" s="11">
        <v>3.9</v>
      </c>
      <c r="N20" s="11">
        <v>2</v>
      </c>
      <c r="O20" s="11">
        <v>4.5</v>
      </c>
    </row>
    <row r="21" spans="1:15" ht="17.25" thickTop="1" thickBot="1" x14ac:dyDescent="0.3">
      <c r="A21" s="3">
        <v>8</v>
      </c>
      <c r="B21" s="3" t="s">
        <v>17</v>
      </c>
      <c r="C21" s="11">
        <v>2.8</v>
      </c>
      <c r="D21" s="11">
        <v>2.2999999999999998</v>
      </c>
      <c r="E21" s="11">
        <v>2.9</v>
      </c>
      <c r="F21" s="11">
        <v>1.9</v>
      </c>
      <c r="G21" s="11">
        <v>0</v>
      </c>
      <c r="H21" s="11">
        <v>1.6</v>
      </c>
      <c r="I21" s="11">
        <v>1</v>
      </c>
      <c r="J21" s="11">
        <v>1.8</v>
      </c>
      <c r="K21" s="11">
        <v>3</v>
      </c>
      <c r="L21" s="11">
        <v>3.9</v>
      </c>
      <c r="M21" s="11">
        <v>3</v>
      </c>
      <c r="N21" s="11">
        <v>3.5</v>
      </c>
      <c r="O21" s="11">
        <v>4.2</v>
      </c>
    </row>
    <row r="22" spans="1:15" ht="17.25" thickTop="1" thickBot="1" x14ac:dyDescent="0.3">
      <c r="A22" s="3">
        <v>9</v>
      </c>
      <c r="B22" s="3" t="s">
        <v>16</v>
      </c>
      <c r="C22" s="11">
        <v>0</v>
      </c>
      <c r="D22" s="11">
        <v>3.9</v>
      </c>
      <c r="E22" s="11">
        <v>4.2</v>
      </c>
      <c r="F22" s="11">
        <v>4</v>
      </c>
      <c r="G22" s="11">
        <v>1</v>
      </c>
      <c r="H22" s="11">
        <v>5</v>
      </c>
      <c r="I22" s="11">
        <v>3.2</v>
      </c>
      <c r="J22" s="11">
        <v>2.5</v>
      </c>
      <c r="K22" s="11">
        <v>2.5</v>
      </c>
      <c r="L22" s="11">
        <v>1.3</v>
      </c>
      <c r="M22" s="11">
        <v>3.1</v>
      </c>
      <c r="N22" s="11">
        <v>2.2999999999999998</v>
      </c>
      <c r="O22" s="11">
        <v>2.2000000000000002</v>
      </c>
    </row>
    <row r="23" spans="1:15" ht="17.25" thickTop="1" thickBot="1" x14ac:dyDescent="0.3">
      <c r="A23" s="3">
        <v>10</v>
      </c>
      <c r="B23" s="3" t="s">
        <v>5</v>
      </c>
      <c r="C23" s="11">
        <v>3</v>
      </c>
      <c r="D23" s="11">
        <v>4.9000000000000004</v>
      </c>
      <c r="E23" s="11">
        <v>4.5</v>
      </c>
      <c r="F23" s="11">
        <v>5</v>
      </c>
      <c r="G23" s="11">
        <v>3.5</v>
      </c>
      <c r="H23" s="11">
        <v>4.3</v>
      </c>
      <c r="I23" s="11">
        <v>5</v>
      </c>
      <c r="J23" s="11">
        <v>4.8</v>
      </c>
      <c r="K23" s="11">
        <v>3.8</v>
      </c>
      <c r="L23" s="11">
        <v>5</v>
      </c>
      <c r="M23" s="11">
        <v>5</v>
      </c>
      <c r="N23" s="11">
        <v>4.8</v>
      </c>
      <c r="O23" s="11">
        <v>4.5</v>
      </c>
    </row>
    <row r="24" spans="1:15" ht="17.25" thickTop="1" thickBot="1" x14ac:dyDescent="0.3">
      <c r="A24" s="3">
        <v>11</v>
      </c>
      <c r="B24" s="3" t="s">
        <v>19</v>
      </c>
      <c r="C24" s="11">
        <v>0.9</v>
      </c>
      <c r="D24" s="11">
        <v>4.8</v>
      </c>
      <c r="E24" s="11">
        <v>4.9000000000000004</v>
      </c>
      <c r="F24" s="11">
        <v>3.6</v>
      </c>
      <c r="G24" s="11">
        <v>5</v>
      </c>
      <c r="H24" s="11">
        <v>3.5</v>
      </c>
      <c r="I24" s="11">
        <v>4.8</v>
      </c>
      <c r="J24" s="11">
        <v>4.5999999999999996</v>
      </c>
      <c r="K24" s="11">
        <v>4.5</v>
      </c>
      <c r="L24" s="11">
        <v>5</v>
      </c>
      <c r="M24" s="11">
        <v>4.3</v>
      </c>
      <c r="N24" s="11">
        <v>4.5999999999999996</v>
      </c>
      <c r="O24" s="11">
        <v>3</v>
      </c>
    </row>
    <row r="25" spans="1:15" ht="17.25" thickTop="1" thickBot="1" x14ac:dyDescent="0.3">
      <c r="A25" s="3">
        <v>12</v>
      </c>
      <c r="B25" s="3" t="s">
        <v>10</v>
      </c>
      <c r="C25" s="11">
        <v>1.2</v>
      </c>
      <c r="D25" s="11">
        <v>2.6</v>
      </c>
      <c r="E25" s="11">
        <v>5</v>
      </c>
      <c r="F25" s="11">
        <v>4.5</v>
      </c>
      <c r="G25" s="11">
        <v>5</v>
      </c>
      <c r="H25" s="11">
        <v>4.0999999999999996</v>
      </c>
      <c r="I25" s="11">
        <v>3.8</v>
      </c>
      <c r="J25" s="11">
        <v>2.2000000000000002</v>
      </c>
      <c r="K25" s="11">
        <v>4.5</v>
      </c>
      <c r="L25" s="11">
        <v>4</v>
      </c>
      <c r="M25" s="11">
        <v>3.5</v>
      </c>
      <c r="N25" s="11">
        <v>4.8</v>
      </c>
      <c r="O25" s="11">
        <v>4.3</v>
      </c>
    </row>
    <row r="26" spans="1:15" ht="17.25" thickTop="1" thickBot="1" x14ac:dyDescent="0.3">
      <c r="A26" s="3">
        <v>13</v>
      </c>
      <c r="B26" s="3" t="s">
        <v>9</v>
      </c>
      <c r="C26" s="11">
        <v>5</v>
      </c>
      <c r="D26" s="11">
        <v>5</v>
      </c>
      <c r="E26" s="11">
        <v>5</v>
      </c>
      <c r="F26" s="11">
        <v>2.9</v>
      </c>
      <c r="G26" s="11">
        <v>5</v>
      </c>
      <c r="H26" s="11">
        <v>3.8</v>
      </c>
      <c r="I26" s="11">
        <v>4.2</v>
      </c>
      <c r="J26" s="11">
        <v>4</v>
      </c>
      <c r="K26" s="11">
        <v>4.5</v>
      </c>
      <c r="L26" s="11">
        <v>4</v>
      </c>
      <c r="M26" s="11">
        <v>4.0999999999999996</v>
      </c>
      <c r="N26" s="11">
        <v>3.1</v>
      </c>
      <c r="O26" s="11">
        <v>4.5</v>
      </c>
    </row>
    <row r="27" spans="1:15" ht="17.25" thickTop="1" thickBot="1" x14ac:dyDescent="0.3">
      <c r="A27" s="3">
        <v>14</v>
      </c>
      <c r="B27" s="3" t="s">
        <v>18</v>
      </c>
      <c r="C27" s="11">
        <v>5</v>
      </c>
      <c r="D27" s="11">
        <v>4.5</v>
      </c>
      <c r="E27" s="11">
        <v>5</v>
      </c>
      <c r="F27" s="11">
        <v>3.2</v>
      </c>
      <c r="G27" s="11">
        <v>4.5</v>
      </c>
      <c r="H27" s="11">
        <v>4</v>
      </c>
      <c r="I27" s="11">
        <v>4.8</v>
      </c>
      <c r="J27" s="11">
        <v>5</v>
      </c>
      <c r="K27" s="11">
        <v>3.9</v>
      </c>
      <c r="L27" s="11">
        <v>3.6</v>
      </c>
      <c r="M27" s="11">
        <v>3.8</v>
      </c>
      <c r="N27" s="11">
        <v>5</v>
      </c>
      <c r="O27" s="11">
        <v>3</v>
      </c>
    </row>
    <row r="28" spans="1:15" ht="17.25" thickTop="1" thickBot="1" x14ac:dyDescent="0.3">
      <c r="A28" s="3">
        <v>15</v>
      </c>
      <c r="B28" s="3" t="s">
        <v>15</v>
      </c>
      <c r="C28" s="11">
        <v>5</v>
      </c>
      <c r="D28" s="11">
        <v>4.2</v>
      </c>
      <c r="E28" s="11">
        <v>4.5</v>
      </c>
      <c r="F28" s="11">
        <v>2.5</v>
      </c>
      <c r="G28" s="11">
        <v>5</v>
      </c>
      <c r="H28" s="11">
        <v>3.9</v>
      </c>
      <c r="I28" s="11">
        <v>5</v>
      </c>
      <c r="J28" s="11">
        <v>4.8</v>
      </c>
      <c r="K28" s="11">
        <v>0</v>
      </c>
      <c r="L28" s="11">
        <v>3.1</v>
      </c>
      <c r="M28" s="11">
        <v>4</v>
      </c>
      <c r="N28" s="11">
        <v>4.3</v>
      </c>
      <c r="O28" s="11">
        <v>4</v>
      </c>
    </row>
    <row r="29" spans="1:15" ht="17.25" thickTop="1" thickBot="1" x14ac:dyDescent="0.3">
      <c r="A29" s="3">
        <v>16</v>
      </c>
      <c r="B29" s="3" t="s">
        <v>1</v>
      </c>
      <c r="C29" s="11">
        <v>4.9000000000000004</v>
      </c>
      <c r="D29" s="11">
        <v>3.2</v>
      </c>
      <c r="E29" s="11">
        <v>4.9000000000000004</v>
      </c>
      <c r="F29" s="11">
        <v>3.5</v>
      </c>
      <c r="G29" s="11">
        <v>3.9</v>
      </c>
      <c r="H29" s="11">
        <v>4.5</v>
      </c>
      <c r="I29" s="11">
        <v>3.5</v>
      </c>
      <c r="J29" s="11">
        <v>4.5</v>
      </c>
      <c r="K29" s="11">
        <v>4.8</v>
      </c>
      <c r="L29" s="11">
        <v>3.7</v>
      </c>
      <c r="M29" s="11">
        <v>3.9</v>
      </c>
      <c r="N29" s="11">
        <v>3.5</v>
      </c>
      <c r="O29" s="11">
        <v>3.5</v>
      </c>
    </row>
    <row r="30" spans="1:15" ht="17.25" thickTop="1" thickBot="1" x14ac:dyDescent="0.3">
      <c r="A30" s="3">
        <v>17</v>
      </c>
      <c r="B30" s="3" t="s">
        <v>6</v>
      </c>
      <c r="C30" s="11">
        <v>3.9</v>
      </c>
      <c r="D30" s="11">
        <v>5</v>
      </c>
      <c r="E30" s="11">
        <v>4.8</v>
      </c>
      <c r="F30" s="11">
        <v>4</v>
      </c>
      <c r="G30" s="11">
        <v>5</v>
      </c>
      <c r="H30" s="11">
        <v>5</v>
      </c>
      <c r="I30" s="11">
        <v>2.2999999999999998</v>
      </c>
      <c r="J30" s="11">
        <v>5</v>
      </c>
      <c r="K30" s="11">
        <v>3.7</v>
      </c>
      <c r="L30" s="11">
        <v>4.5</v>
      </c>
      <c r="M30" s="11">
        <v>4.5</v>
      </c>
      <c r="N30" s="11">
        <v>4.0999999999999996</v>
      </c>
      <c r="O30" s="11">
        <v>4.5</v>
      </c>
    </row>
    <row r="31" spans="1:15" ht="17.25" thickTop="1" thickBot="1" x14ac:dyDescent="0.3">
      <c r="A31" s="3">
        <v>18</v>
      </c>
      <c r="B31" s="3" t="s">
        <v>7</v>
      </c>
      <c r="C31" s="11">
        <v>3.8</v>
      </c>
      <c r="D31" s="11">
        <v>4.8</v>
      </c>
      <c r="E31" s="11">
        <v>4.5999999999999996</v>
      </c>
      <c r="F31" s="11">
        <v>5</v>
      </c>
      <c r="G31" s="11">
        <v>5</v>
      </c>
      <c r="H31" s="11">
        <v>3.4</v>
      </c>
      <c r="I31" s="11">
        <v>2.9</v>
      </c>
      <c r="J31" s="11">
        <v>1</v>
      </c>
      <c r="K31" s="11">
        <v>3.8</v>
      </c>
      <c r="L31" s="11">
        <v>5</v>
      </c>
      <c r="M31" s="11">
        <v>5</v>
      </c>
      <c r="N31" s="11">
        <v>3.8</v>
      </c>
      <c r="O31" s="11">
        <v>4.5</v>
      </c>
    </row>
    <row r="32" spans="1:15" ht="17.25" thickTop="1" thickBot="1" x14ac:dyDescent="0.3">
      <c r="A32" s="3">
        <v>19</v>
      </c>
      <c r="B32" s="3" t="s">
        <v>3</v>
      </c>
      <c r="C32" s="11">
        <v>5</v>
      </c>
      <c r="D32" s="11">
        <v>4.9000000000000004</v>
      </c>
      <c r="E32" s="11">
        <v>4.2</v>
      </c>
      <c r="F32" s="11">
        <v>4</v>
      </c>
      <c r="G32" s="11">
        <v>4.8</v>
      </c>
      <c r="H32" s="11">
        <v>5</v>
      </c>
      <c r="I32" s="11">
        <v>4.5999999999999996</v>
      </c>
      <c r="J32" s="11">
        <v>4.5</v>
      </c>
      <c r="K32" s="11">
        <v>3.5</v>
      </c>
      <c r="L32" s="11">
        <v>5</v>
      </c>
      <c r="M32" s="11">
        <v>4</v>
      </c>
      <c r="N32" s="11">
        <v>4</v>
      </c>
      <c r="O32" s="11">
        <v>4.5</v>
      </c>
    </row>
    <row r="33" spans="1:15" ht="17.25" thickTop="1" thickBot="1" x14ac:dyDescent="0.3">
      <c r="A33" s="3">
        <v>20</v>
      </c>
      <c r="B33" s="3" t="s">
        <v>12</v>
      </c>
      <c r="C33" s="11">
        <v>4</v>
      </c>
      <c r="D33" s="11">
        <v>5</v>
      </c>
      <c r="E33" s="11">
        <v>3.6</v>
      </c>
      <c r="F33" s="11">
        <v>4</v>
      </c>
      <c r="G33" s="11">
        <v>4.8</v>
      </c>
      <c r="H33" s="11">
        <v>3.2</v>
      </c>
      <c r="I33" s="11">
        <v>4.5</v>
      </c>
      <c r="J33" s="11">
        <v>4.5999999999999996</v>
      </c>
      <c r="K33" s="11">
        <v>4</v>
      </c>
      <c r="L33" s="11">
        <v>5</v>
      </c>
      <c r="M33" s="11">
        <v>4</v>
      </c>
      <c r="N33" s="11">
        <v>3.9</v>
      </c>
      <c r="O33" s="11">
        <v>3.5</v>
      </c>
    </row>
    <row r="34" spans="1:15" ht="16.5" thickTop="1" x14ac:dyDescent="0.25">
      <c r="N34" s="4"/>
    </row>
    <row r="35" spans="1:15" x14ac:dyDescent="0.25">
      <c r="A35" s="1">
        <v>1</v>
      </c>
      <c r="B35" s="1">
        <v>2</v>
      </c>
      <c r="C35" s="1">
        <v>3</v>
      </c>
      <c r="D35" s="1">
        <v>4</v>
      </c>
      <c r="E35" s="1">
        <v>5</v>
      </c>
      <c r="F35" s="1">
        <v>6</v>
      </c>
      <c r="G35" s="1">
        <v>7</v>
      </c>
      <c r="H35" s="1">
        <v>8</v>
      </c>
      <c r="I35" s="1">
        <v>9</v>
      </c>
      <c r="J35" s="1">
        <v>10</v>
      </c>
      <c r="K35" s="1">
        <v>11</v>
      </c>
      <c r="L35" s="1">
        <v>12</v>
      </c>
      <c r="M35" s="1">
        <v>13</v>
      </c>
      <c r="N35" s="1">
        <v>14</v>
      </c>
      <c r="O35" s="1">
        <v>15</v>
      </c>
    </row>
  </sheetData>
  <mergeCells count="5">
    <mergeCell ref="A9:O10"/>
    <mergeCell ref="A11:O11"/>
    <mergeCell ref="A12:B13"/>
    <mergeCell ref="C12:J12"/>
    <mergeCell ref="C13:J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X160"/>
  <sheetViews>
    <sheetView tabSelected="1" topLeftCell="A4" workbookViewId="0">
      <pane xSplit="2" ySplit="10" topLeftCell="C14" activePane="bottomRight" state="frozen"/>
      <selection activeCell="A4" sqref="A4"/>
      <selection pane="topRight" activeCell="C4" sqref="C4"/>
      <selection pane="bottomLeft" activeCell="A14" sqref="A14"/>
      <selection pane="bottomRight" activeCell="T14" sqref="T14"/>
    </sheetView>
  </sheetViews>
  <sheetFormatPr baseColWidth="10" defaultRowHeight="15.75" x14ac:dyDescent="0.25"/>
  <cols>
    <col min="1" max="1" width="6.7109375" style="1" bestFit="1" customWidth="1"/>
    <col min="2" max="2" width="23.85546875" style="1" bestFit="1" customWidth="1"/>
    <col min="3" max="10" width="5.7109375" style="1" customWidth="1"/>
    <col min="11" max="11" width="8" style="1" customWidth="1"/>
    <col min="12" max="12" width="15.140625" style="1" customWidth="1"/>
    <col min="13" max="13" width="11.85546875" style="1" bestFit="1" customWidth="1"/>
    <col min="14" max="14" width="12.140625" style="1" customWidth="1"/>
    <col min="15" max="15" width="10" style="1" bestFit="1" customWidth="1"/>
    <col min="16" max="16" width="10" style="1" customWidth="1"/>
    <col min="17" max="17" width="7.140625" style="1" bestFit="1" customWidth="1"/>
    <col min="18" max="18" width="7.140625" style="1" customWidth="1"/>
    <col min="19" max="19" width="12.7109375" style="1" bestFit="1" customWidth="1"/>
    <col min="20" max="20" width="13.85546875" style="1" customWidth="1"/>
    <col min="21" max="21" width="13.85546875" style="1" bestFit="1" customWidth="1"/>
    <col min="22" max="22" width="8.28515625" style="1" customWidth="1"/>
    <col min="23" max="23" width="11.42578125" style="1"/>
    <col min="24" max="24" width="13.7109375" style="1" customWidth="1"/>
    <col min="25" max="16384" width="11.42578125" style="1"/>
  </cols>
  <sheetData>
    <row r="8" spans="1:24" ht="16.5" thickBot="1" x14ac:dyDescent="0.3"/>
    <row r="9" spans="1:24" ht="15.75" customHeight="1" x14ac:dyDescent="0.25">
      <c r="A9" s="33" t="s">
        <v>22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</row>
    <row r="10" spans="1:24" ht="15.75" customHeight="1" thickBot="1" x14ac:dyDescent="0.3">
      <c r="A10" s="35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</row>
    <row r="11" spans="1:24" ht="14.25" customHeight="1" thickBot="1" x14ac:dyDescent="0.3">
      <c r="A11" s="37" t="s">
        <v>26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</row>
    <row r="12" spans="1:24" ht="15.75" customHeight="1" thickTop="1" thickBot="1" x14ac:dyDescent="0.3">
      <c r="A12" s="38" t="s">
        <v>31</v>
      </c>
      <c r="B12" s="38"/>
      <c r="C12" s="39"/>
      <c r="D12" s="39"/>
      <c r="E12" s="39"/>
      <c r="F12" s="39"/>
      <c r="G12" s="39"/>
      <c r="H12" s="39"/>
      <c r="I12" s="39"/>
      <c r="J12" s="39"/>
      <c r="K12" s="17"/>
      <c r="L12" s="17"/>
      <c r="N12" s="6" t="s">
        <v>29</v>
      </c>
      <c r="P12" s="7" t="s">
        <v>30</v>
      </c>
      <c r="R12" s="7" t="s">
        <v>30</v>
      </c>
      <c r="T12" s="7" t="s">
        <v>30</v>
      </c>
      <c r="V12" s="19" t="s">
        <v>30</v>
      </c>
      <c r="W12" s="25" t="s">
        <v>42</v>
      </c>
      <c r="X12" s="26" t="s">
        <v>27</v>
      </c>
    </row>
    <row r="13" spans="1:24" ht="15.75" customHeight="1" thickTop="1" thickBot="1" x14ac:dyDescent="0.3">
      <c r="A13" s="38"/>
      <c r="B13" s="38"/>
      <c r="C13" s="40" t="s">
        <v>28</v>
      </c>
      <c r="D13" s="40"/>
      <c r="E13" s="40"/>
      <c r="F13" s="40"/>
      <c r="G13" s="40"/>
      <c r="H13" s="40"/>
      <c r="I13" s="40"/>
      <c r="J13" s="40"/>
      <c r="K13" s="15" t="s">
        <v>32</v>
      </c>
      <c r="L13" s="16">
        <v>0.3</v>
      </c>
      <c r="M13" s="8" t="s">
        <v>20</v>
      </c>
      <c r="N13" s="5">
        <v>0.2</v>
      </c>
      <c r="O13" s="8" t="s">
        <v>21</v>
      </c>
      <c r="P13" s="5">
        <v>0.2</v>
      </c>
      <c r="Q13" s="8" t="s">
        <v>24</v>
      </c>
      <c r="R13" s="5">
        <v>0.1</v>
      </c>
      <c r="S13" s="8" t="s">
        <v>25</v>
      </c>
      <c r="T13" s="5">
        <v>0.1</v>
      </c>
      <c r="U13" s="8" t="s">
        <v>23</v>
      </c>
      <c r="V13" s="20">
        <v>0.1</v>
      </c>
      <c r="W13" s="27" t="s">
        <v>33</v>
      </c>
      <c r="X13" s="28" t="s">
        <v>43</v>
      </c>
    </row>
    <row r="14" spans="1:24" ht="15.75" customHeight="1" thickTop="1" thickBot="1" x14ac:dyDescent="0.3">
      <c r="A14" s="3">
        <v>1</v>
      </c>
      <c r="B14" s="3" t="str">
        <f t="shared" ref="B14:B31" si="0">IF(ISERROR(VLOOKUP(A14,datosestudiantes,2,FALSE)),"no existe",VLOOKUP(A14,datosestudiantes,2,FALSE))</f>
        <v>ALEJANDRO SEPULVEDA</v>
      </c>
      <c r="C14" s="9">
        <f>IF(ISERROR(VLOOKUP(A14,datosestudiantes,3,FALSE)),"",VLOOKUP(A14,datosestudiantes,3,FALSE))</f>
        <v>4.3</v>
      </c>
      <c r="D14" s="9">
        <f>IF(ISERROR(VLOOKUP(A14,datosestudiantes,4,FALSE)),"",VLOOKUP(A14,datosestudiantes,4,FALSE))</f>
        <v>1.2</v>
      </c>
      <c r="E14" s="9">
        <f>IF(ISERROR(VLOOKUP(A14,datosestudiantes,5,FALSE)),"",VLOOKUP(A14,datosestudiantes,5,FALSE))</f>
        <v>2.9</v>
      </c>
      <c r="F14" s="9">
        <f>IF(ISERROR(VLOOKUP(A14,datosestudiantes,6,FALSE)),"",VLOOKUP(A14,datosestudiantes,6,FALSE))</f>
        <v>4.5</v>
      </c>
      <c r="G14" s="9">
        <f>IF(ISERROR(VLOOKUP(A14,datosestudiantes,7,FALSE)),"",VLOOKUP(A14,datosestudiantes,7,FALSE))</f>
        <v>4.8</v>
      </c>
      <c r="H14" s="9">
        <f>IF(ISERROR(VLOOKUP(A14,datosestudiantes,8,FALSE)),"",VLOOKUP(A14,datosestudiantes,8,FALSE))</f>
        <v>3.9</v>
      </c>
      <c r="I14" s="9">
        <f>IF(ISERROR(VLOOKUP(A14,datosestudiantes,9,FALSE)),"",VLOOKUP(A14,datosestudiantes,9,FALSE))</f>
        <v>4.2</v>
      </c>
      <c r="J14" s="9">
        <f>IF(ISERROR(VLOOKUP(A14,datosestudiantes,10,FALSE)),"",VLOOKUP(A14,datosestudiantes,10,FALSE))</f>
        <v>4</v>
      </c>
      <c r="K14" s="11">
        <f>IF(OR(C14="",D14="",E14="",F14="",G14="",H14="",I14="",J14=""),"",AVERAGE(C14:J14))</f>
        <v>3.7249999999999996</v>
      </c>
      <c r="L14" s="11">
        <f>IF(OR(K14="",$L$13=""),"",K14*$L$13)</f>
        <v>1.1174999999999999</v>
      </c>
      <c r="M14" s="9">
        <f>IF(ISERROR(VLOOKUP(A14,datosestudiantes,11,FALSE)),noexiste,VLOOKUP(A14,datosestudiantes,11,FALSE))</f>
        <v>3.8</v>
      </c>
      <c r="N14" s="10">
        <f>IF(OR(M14="",$N$13=""),"",M14*$N$13)</f>
        <v>0.76</v>
      </c>
      <c r="O14" s="9">
        <f t="shared" ref="O14:O31" si="1">VLOOKUP(A14,datosestudiantes,12,FALSE)</f>
        <v>4.3</v>
      </c>
      <c r="P14" s="10">
        <f>IF(OR(O14="",$P$13=""),"",O14*$P$13)</f>
        <v>0.86</v>
      </c>
      <c r="Q14" s="11">
        <f t="shared" ref="Q14:Q31" si="2">VLOOKUP(A14,datosestudiantes,13,FALSE)</f>
        <v>3.4</v>
      </c>
      <c r="R14" s="10" t="b">
        <f>IF(OR(Q14="",$R$13=""),Q14*$R$13)</f>
        <v>0</v>
      </c>
      <c r="S14" s="11">
        <f t="shared" ref="S14:S31" si="3">VLOOKUP(A14,datosestudiantes,14,FALSE)</f>
        <v>2.9</v>
      </c>
      <c r="T14" s="10">
        <f>S14*$T$13</f>
        <v>0.28999999999999998</v>
      </c>
      <c r="U14" s="9">
        <f t="shared" ref="U14:U31" si="4">VLOOKUP(A14,datosestudiantes,15,FALSE)</f>
        <v>3.5</v>
      </c>
      <c r="V14" s="21">
        <f>U14*$V$13</f>
        <v>0.35000000000000003</v>
      </c>
      <c r="W14" s="29">
        <f>L14+N14+P14+R14+T14+V14</f>
        <v>3.3774999999999999</v>
      </c>
      <c r="X14" s="30" t="str">
        <f>IF(W14&gt;=3,"APROBADO","REPROBADO")</f>
        <v>APROBADO</v>
      </c>
    </row>
    <row r="15" spans="1:24" s="2" customFormat="1" ht="17.25" thickTop="1" thickBot="1" x14ac:dyDescent="0.3">
      <c r="A15" s="3">
        <v>2</v>
      </c>
      <c r="B15" s="3" t="str">
        <f t="shared" si="0"/>
        <v>CARLOS JARAMILLO</v>
      </c>
      <c r="C15" s="9">
        <f>IF(ISERROR(VLOOKUP(A15,datosestudiantes,3,FALSE)),"",VLOOKUP(A15,datosestudiantes,3,FALSE))</f>
        <v>4</v>
      </c>
      <c r="D15" s="9">
        <f t="shared" ref="D14:D31" si="5">VLOOKUP(A15,datosestudiantes,4,FALSE)</f>
        <v>4.0999999999999996</v>
      </c>
      <c r="E15" s="9">
        <f t="shared" ref="E14:E31" si="6">VLOOKUP(A15,datosestudiantes,5,FALSE)</f>
        <v>3.8</v>
      </c>
      <c r="F15" s="9">
        <f t="shared" ref="F14:F31" si="7">VLOOKUP(A15,datosestudiantes,6,FALSE)</f>
        <v>2.2000000000000002</v>
      </c>
      <c r="G15" s="9">
        <f t="shared" ref="G14:G31" si="8">VLOOKUP(A15,datosestudiantes,7,FALSE)</f>
        <v>1.9</v>
      </c>
      <c r="H15" s="9">
        <f t="shared" ref="H14:H31" si="9">VLOOKUP(A15,datosestudiantes,8,FALSE)</f>
        <v>3</v>
      </c>
      <c r="I15" s="9">
        <f t="shared" ref="I14:I31" si="10">VLOOKUP(A15,datosestudiantes,9,FALSE)</f>
        <v>4.8</v>
      </c>
      <c r="J15" s="9">
        <f t="shared" ref="J14:J31" si="11">VLOOKUP(A15,datosestudiantes,10,FALSE)</f>
        <v>5</v>
      </c>
      <c r="K15" s="11">
        <f t="shared" ref="K15:K31" si="12">IF(OR(C15="",D15="",E15="",F15="",G15="",H15="",I15="",J15=""),"",AVERAGE(C15:J15))</f>
        <v>3.6</v>
      </c>
      <c r="L15" s="11">
        <f t="shared" ref="L15:L31" si="13">IF(OR(K15="",$L$13=""),"",K15*$L$13)</f>
        <v>1.08</v>
      </c>
      <c r="M15" s="9">
        <f t="shared" ref="M14:M31" si="14">VLOOKUP(A15,datosestudiantes,11,FALSE)</f>
        <v>4.5999999999999996</v>
      </c>
      <c r="N15" s="10">
        <f t="shared" ref="N15:N31" si="15">M15*$N$13</f>
        <v>0.91999999999999993</v>
      </c>
      <c r="O15" s="9">
        <f t="shared" si="1"/>
        <v>3.2</v>
      </c>
      <c r="P15" s="10">
        <f t="shared" ref="P15:P31" si="16">O15*$P$13</f>
        <v>0.64000000000000012</v>
      </c>
      <c r="Q15" s="11">
        <f t="shared" si="2"/>
        <v>2.5</v>
      </c>
      <c r="R15" s="10">
        <f t="shared" ref="R15:R31" si="17">Q15*$R$13</f>
        <v>0.25</v>
      </c>
      <c r="S15" s="11">
        <f t="shared" si="3"/>
        <v>4.2</v>
      </c>
      <c r="T15" s="10">
        <f t="shared" ref="T15:T31" si="18">S15*$T$13</f>
        <v>0.42000000000000004</v>
      </c>
      <c r="U15" s="9">
        <f t="shared" si="4"/>
        <v>4</v>
      </c>
      <c r="V15" s="21">
        <f t="shared" ref="V15:V31" si="19">U15*$V$13</f>
        <v>0.4</v>
      </c>
      <c r="W15" s="29">
        <f t="shared" ref="W15:W31" si="20">L15+N15+P15+R15+T15+V15</f>
        <v>3.71</v>
      </c>
      <c r="X15" s="30" t="str">
        <f t="shared" ref="X15:X31" si="21">IF(W15&gt;=3,"APROBADO","REPROBADO")</f>
        <v>APROBADO</v>
      </c>
    </row>
    <row r="16" spans="1:24" s="2" customFormat="1" ht="17.25" thickTop="1" thickBot="1" x14ac:dyDescent="0.3">
      <c r="A16" s="3">
        <v>3</v>
      </c>
      <c r="B16" s="3" t="str">
        <f t="shared" si="0"/>
        <v>CARLOS VERGARA</v>
      </c>
      <c r="C16" s="9">
        <f>IF(ISERROR(VLOOKUP(A16,datosestudiantes,3,FALSE)),"",VLOOKUP(A16,datosestudiantes,3,FALSE))</f>
        <v>4.5</v>
      </c>
      <c r="D16" s="9">
        <f t="shared" si="5"/>
        <v>3.8</v>
      </c>
      <c r="E16" s="9">
        <f t="shared" si="6"/>
        <v>4.2</v>
      </c>
      <c r="F16" s="9">
        <f t="shared" si="7"/>
        <v>4</v>
      </c>
      <c r="G16" s="9">
        <f t="shared" si="8"/>
        <v>5</v>
      </c>
      <c r="H16" s="9">
        <f t="shared" si="9"/>
        <v>5</v>
      </c>
      <c r="I16" s="9">
        <f t="shared" si="10"/>
        <v>5</v>
      </c>
      <c r="J16" s="9">
        <f t="shared" si="11"/>
        <v>4.8</v>
      </c>
      <c r="K16" s="11">
        <f t="shared" si="12"/>
        <v>4.5374999999999996</v>
      </c>
      <c r="L16" s="11">
        <f t="shared" si="13"/>
        <v>1.3612499999999998</v>
      </c>
      <c r="M16" s="9">
        <f t="shared" si="14"/>
        <v>4.5</v>
      </c>
      <c r="N16" s="10">
        <f t="shared" si="15"/>
        <v>0.9</v>
      </c>
      <c r="O16" s="9">
        <f t="shared" si="1"/>
        <v>4.5999999999999996</v>
      </c>
      <c r="P16" s="10">
        <f t="shared" si="16"/>
        <v>0.91999999999999993</v>
      </c>
      <c r="Q16" s="11">
        <f t="shared" si="2"/>
        <v>3.8</v>
      </c>
      <c r="R16" s="10">
        <f t="shared" si="17"/>
        <v>0.38</v>
      </c>
      <c r="S16" s="11">
        <f t="shared" si="3"/>
        <v>4.5</v>
      </c>
      <c r="T16" s="10">
        <f t="shared" si="18"/>
        <v>0.45</v>
      </c>
      <c r="U16" s="9">
        <f t="shared" si="4"/>
        <v>4</v>
      </c>
      <c r="V16" s="21">
        <f t="shared" si="19"/>
        <v>0.4</v>
      </c>
      <c r="W16" s="29">
        <f t="shared" si="20"/>
        <v>4.4112499999999999</v>
      </c>
      <c r="X16" s="30" t="str">
        <f t="shared" si="21"/>
        <v>APROBADO</v>
      </c>
    </row>
    <row r="17" spans="1:24" ht="17.25" thickTop="1" thickBot="1" x14ac:dyDescent="0.3">
      <c r="A17" s="3">
        <v>4</v>
      </c>
      <c r="B17" s="3" t="str">
        <f t="shared" si="0"/>
        <v>CESAR GUARIN</v>
      </c>
      <c r="C17" s="9">
        <f>IF(ISERROR(VLOOKUP(A17,datosestudiantes,3,FALSE)),"",VLOOKUP(A17,datosestudiantes,3,FALSE))</f>
        <v>3.5</v>
      </c>
      <c r="D17" s="9">
        <f t="shared" si="5"/>
        <v>4</v>
      </c>
      <c r="E17" s="9">
        <f t="shared" si="6"/>
        <v>4.8</v>
      </c>
      <c r="F17" s="9">
        <f t="shared" si="7"/>
        <v>5</v>
      </c>
      <c r="G17" s="9">
        <f t="shared" si="8"/>
        <v>2.5</v>
      </c>
      <c r="H17" s="9">
        <f t="shared" si="9"/>
        <v>3.9</v>
      </c>
      <c r="I17" s="9">
        <f t="shared" si="10"/>
        <v>3.5</v>
      </c>
      <c r="J17" s="9">
        <f t="shared" si="11"/>
        <v>4.5</v>
      </c>
      <c r="K17" s="11">
        <f t="shared" si="12"/>
        <v>3.9624999999999999</v>
      </c>
      <c r="L17" s="11">
        <f t="shared" si="13"/>
        <v>1.18875</v>
      </c>
      <c r="M17" s="9">
        <f t="shared" si="14"/>
        <v>2.9</v>
      </c>
      <c r="N17" s="10">
        <f t="shared" si="15"/>
        <v>0.57999999999999996</v>
      </c>
      <c r="O17" s="9">
        <f t="shared" si="1"/>
        <v>3</v>
      </c>
      <c r="P17" s="10">
        <f t="shared" si="16"/>
        <v>0.60000000000000009</v>
      </c>
      <c r="Q17" s="11">
        <f t="shared" si="2"/>
        <v>4.5</v>
      </c>
      <c r="R17" s="10">
        <f t="shared" si="17"/>
        <v>0.45</v>
      </c>
      <c r="S17" s="11">
        <f t="shared" si="3"/>
        <v>1</v>
      </c>
      <c r="T17" s="10">
        <f t="shared" si="18"/>
        <v>0.1</v>
      </c>
      <c r="U17" s="9">
        <f t="shared" si="4"/>
        <v>3.5</v>
      </c>
      <c r="V17" s="21">
        <f t="shared" si="19"/>
        <v>0.35000000000000003</v>
      </c>
      <c r="W17" s="29">
        <f t="shared" si="20"/>
        <v>3.2687500000000003</v>
      </c>
      <c r="X17" s="30" t="str">
        <f t="shared" si="21"/>
        <v>APROBADO</v>
      </c>
    </row>
    <row r="18" spans="1:24" ht="17.25" thickTop="1" thickBot="1" x14ac:dyDescent="0.3">
      <c r="A18" s="3">
        <v>5</v>
      </c>
      <c r="B18" s="3" t="str">
        <f t="shared" si="0"/>
        <v>CLAUDIA MONTES</v>
      </c>
      <c r="C18" s="9">
        <f>IF(ISERROR(VLOOKUP(A18,datosestudiantes,3,FALSE)),"",VLOOKUP(A18,datosestudiantes,3,FALSE))</f>
        <v>5</v>
      </c>
      <c r="D18" s="9">
        <f t="shared" si="5"/>
        <v>3.9</v>
      </c>
      <c r="E18" s="9">
        <f t="shared" si="6"/>
        <v>5</v>
      </c>
      <c r="F18" s="9">
        <f t="shared" si="7"/>
        <v>4.8</v>
      </c>
      <c r="G18" s="9">
        <f t="shared" si="8"/>
        <v>4.3</v>
      </c>
      <c r="H18" s="9">
        <f t="shared" si="9"/>
        <v>0</v>
      </c>
      <c r="I18" s="9">
        <f t="shared" si="10"/>
        <v>2.2999999999999998</v>
      </c>
      <c r="J18" s="9">
        <f t="shared" si="11"/>
        <v>5</v>
      </c>
      <c r="K18" s="11">
        <f t="shared" si="12"/>
        <v>3.7875000000000001</v>
      </c>
      <c r="L18" s="11">
        <f t="shared" si="13"/>
        <v>1.13625</v>
      </c>
      <c r="M18" s="9">
        <f t="shared" si="14"/>
        <v>3.2</v>
      </c>
      <c r="N18" s="10">
        <f t="shared" si="15"/>
        <v>0.64000000000000012</v>
      </c>
      <c r="O18" s="9">
        <f t="shared" si="1"/>
        <v>5</v>
      </c>
      <c r="P18" s="10">
        <f t="shared" si="16"/>
        <v>1</v>
      </c>
      <c r="Q18" s="11">
        <f t="shared" si="2"/>
        <v>4.5</v>
      </c>
      <c r="R18" s="10">
        <f t="shared" si="17"/>
        <v>0.45</v>
      </c>
      <c r="S18" s="11">
        <f t="shared" si="3"/>
        <v>5</v>
      </c>
      <c r="T18" s="10">
        <f t="shared" si="18"/>
        <v>0.5</v>
      </c>
      <c r="U18" s="9">
        <f t="shared" si="4"/>
        <v>3</v>
      </c>
      <c r="V18" s="21">
        <f t="shared" si="19"/>
        <v>0.30000000000000004</v>
      </c>
      <c r="W18" s="29">
        <f t="shared" si="20"/>
        <v>4.0262500000000001</v>
      </c>
      <c r="X18" s="30" t="str">
        <f t="shared" si="21"/>
        <v>APROBADO</v>
      </c>
    </row>
    <row r="19" spans="1:24" ht="17.25" thickTop="1" thickBot="1" x14ac:dyDescent="0.3">
      <c r="A19" s="3">
        <v>6</v>
      </c>
      <c r="B19" s="3" t="str">
        <f t="shared" si="0"/>
        <v>DEISY BUSTAMANTE</v>
      </c>
      <c r="C19" s="9">
        <f>IF(ISERROR(VLOOKUP(A19,datosestudiantes,3,FALSE)),"",VLOOKUP(A19,datosestudiantes,3,FALSE))</f>
        <v>3.2</v>
      </c>
      <c r="D19" s="9">
        <f t="shared" si="5"/>
        <v>2.4</v>
      </c>
      <c r="E19" s="9">
        <f t="shared" si="6"/>
        <v>3.5</v>
      </c>
      <c r="F19" s="9">
        <f t="shared" si="7"/>
        <v>4.5</v>
      </c>
      <c r="G19" s="9">
        <f t="shared" si="8"/>
        <v>4.5</v>
      </c>
      <c r="H19" s="9">
        <f t="shared" si="9"/>
        <v>5</v>
      </c>
      <c r="I19" s="9">
        <f t="shared" si="10"/>
        <v>2.9</v>
      </c>
      <c r="J19" s="9">
        <f t="shared" si="11"/>
        <v>1</v>
      </c>
      <c r="K19" s="11">
        <f t="shared" si="12"/>
        <v>3.375</v>
      </c>
      <c r="L19" s="11">
        <f t="shared" si="13"/>
        <v>1.0125</v>
      </c>
      <c r="M19" s="9">
        <f t="shared" si="14"/>
        <v>4.9000000000000004</v>
      </c>
      <c r="N19" s="10">
        <f t="shared" si="15"/>
        <v>0.98000000000000009</v>
      </c>
      <c r="O19" s="9">
        <f t="shared" si="1"/>
        <v>4.3</v>
      </c>
      <c r="P19" s="10">
        <f t="shared" si="16"/>
        <v>0.86</v>
      </c>
      <c r="Q19" s="11">
        <f t="shared" si="2"/>
        <v>4.5</v>
      </c>
      <c r="R19" s="10">
        <f t="shared" si="17"/>
        <v>0.45</v>
      </c>
      <c r="S19" s="11">
        <f t="shared" si="3"/>
        <v>5</v>
      </c>
      <c r="T19" s="10">
        <f t="shared" si="18"/>
        <v>0.5</v>
      </c>
      <c r="U19" s="9">
        <f t="shared" si="4"/>
        <v>3.5</v>
      </c>
      <c r="V19" s="21">
        <f t="shared" si="19"/>
        <v>0.35000000000000003</v>
      </c>
      <c r="W19" s="29">
        <f t="shared" si="20"/>
        <v>4.1524999999999999</v>
      </c>
      <c r="X19" s="30" t="str">
        <f t="shared" si="21"/>
        <v>APROBADO</v>
      </c>
    </row>
    <row r="20" spans="1:24" ht="17.25" thickTop="1" thickBot="1" x14ac:dyDescent="0.3">
      <c r="A20" s="3">
        <v>7</v>
      </c>
      <c r="B20" s="3" t="str">
        <f t="shared" si="0"/>
        <v>DEISY HERRERA</v>
      </c>
      <c r="C20" s="9">
        <f>IF(ISERROR(VLOOKUP(A20,datosestudiantes,3,FALSE)),"",VLOOKUP(A20,datosestudiantes,3,FALSE))</f>
        <v>5</v>
      </c>
      <c r="D20" s="9">
        <f t="shared" si="5"/>
        <v>5</v>
      </c>
      <c r="E20" s="9">
        <f t="shared" si="6"/>
        <v>2.2999999999999998</v>
      </c>
      <c r="F20" s="9">
        <f t="shared" si="7"/>
        <v>5</v>
      </c>
      <c r="G20" s="9">
        <f t="shared" si="8"/>
        <v>3.8</v>
      </c>
      <c r="H20" s="9">
        <f t="shared" si="9"/>
        <v>4.8</v>
      </c>
      <c r="I20" s="9">
        <f t="shared" si="10"/>
        <v>4.5999999999999996</v>
      </c>
      <c r="J20" s="9">
        <f t="shared" si="11"/>
        <v>4.5</v>
      </c>
      <c r="K20" s="11">
        <f t="shared" si="12"/>
        <v>4.375</v>
      </c>
      <c r="L20" s="11">
        <f t="shared" si="13"/>
        <v>1.3125</v>
      </c>
      <c r="M20" s="9">
        <f t="shared" si="14"/>
        <v>2</v>
      </c>
      <c r="N20" s="10">
        <f t="shared" si="15"/>
        <v>0.4</v>
      </c>
      <c r="O20" s="9">
        <f t="shared" si="1"/>
        <v>5</v>
      </c>
      <c r="P20" s="10">
        <f t="shared" si="16"/>
        <v>1</v>
      </c>
      <c r="Q20" s="11">
        <f t="shared" si="2"/>
        <v>3.9</v>
      </c>
      <c r="R20" s="10">
        <f t="shared" si="17"/>
        <v>0.39</v>
      </c>
      <c r="S20" s="11">
        <f t="shared" si="3"/>
        <v>2</v>
      </c>
      <c r="T20" s="10">
        <f t="shared" si="18"/>
        <v>0.2</v>
      </c>
      <c r="U20" s="9">
        <f t="shared" si="4"/>
        <v>4.5</v>
      </c>
      <c r="V20" s="21">
        <f t="shared" si="19"/>
        <v>0.45</v>
      </c>
      <c r="W20" s="29">
        <f t="shared" si="20"/>
        <v>3.7525000000000004</v>
      </c>
      <c r="X20" s="30" t="str">
        <f t="shared" si="21"/>
        <v>APROBADO</v>
      </c>
    </row>
    <row r="21" spans="1:24" ht="17.25" thickTop="1" thickBot="1" x14ac:dyDescent="0.3">
      <c r="A21" s="3">
        <v>8</v>
      </c>
      <c r="B21" s="3" t="str">
        <f t="shared" si="0"/>
        <v>DIANA VALENCIA</v>
      </c>
      <c r="C21" s="9">
        <f>IF(ISERROR(VLOOKUP(A21,datosestudiantes,3,FALSE)),"",VLOOKUP(A21,datosestudiantes,3,FALSE))</f>
        <v>2.8</v>
      </c>
      <c r="D21" s="9">
        <f t="shared" si="5"/>
        <v>2.2999999999999998</v>
      </c>
      <c r="E21" s="9">
        <f t="shared" si="6"/>
        <v>2.9</v>
      </c>
      <c r="F21" s="9">
        <f t="shared" si="7"/>
        <v>1.9</v>
      </c>
      <c r="G21" s="9">
        <f t="shared" si="8"/>
        <v>0</v>
      </c>
      <c r="H21" s="9">
        <f t="shared" si="9"/>
        <v>1.6</v>
      </c>
      <c r="I21" s="9">
        <f t="shared" si="10"/>
        <v>1</v>
      </c>
      <c r="J21" s="9">
        <f t="shared" si="11"/>
        <v>1.8</v>
      </c>
      <c r="K21" s="11">
        <f t="shared" si="12"/>
        <v>1.7875000000000001</v>
      </c>
      <c r="L21" s="11">
        <f t="shared" si="13"/>
        <v>0.53625</v>
      </c>
      <c r="M21" s="9">
        <f t="shared" si="14"/>
        <v>3</v>
      </c>
      <c r="N21" s="10">
        <f t="shared" si="15"/>
        <v>0.60000000000000009</v>
      </c>
      <c r="O21" s="9">
        <f t="shared" si="1"/>
        <v>3.9</v>
      </c>
      <c r="P21" s="10">
        <f t="shared" si="16"/>
        <v>0.78</v>
      </c>
      <c r="Q21" s="11">
        <f t="shared" si="2"/>
        <v>3</v>
      </c>
      <c r="R21" s="10">
        <f t="shared" si="17"/>
        <v>0.30000000000000004</v>
      </c>
      <c r="S21" s="11">
        <f t="shared" si="3"/>
        <v>3.5</v>
      </c>
      <c r="T21" s="10">
        <f t="shared" si="18"/>
        <v>0.35000000000000003</v>
      </c>
      <c r="U21" s="9">
        <f t="shared" si="4"/>
        <v>4.2</v>
      </c>
      <c r="V21" s="21">
        <f t="shared" si="19"/>
        <v>0.42000000000000004</v>
      </c>
      <c r="W21" s="29">
        <f t="shared" si="20"/>
        <v>2.9862500000000001</v>
      </c>
      <c r="X21" s="30" t="str">
        <f t="shared" si="21"/>
        <v>REPROBADO</v>
      </c>
    </row>
    <row r="22" spans="1:24" ht="17.25" thickTop="1" thickBot="1" x14ac:dyDescent="0.3">
      <c r="A22" s="3">
        <v>9</v>
      </c>
      <c r="B22" s="3" t="str">
        <f t="shared" si="0"/>
        <v>DIEGO GONZALEZ</v>
      </c>
      <c r="C22" s="9">
        <f>IF(ISERROR(VLOOKUP(A22,datosestudiantes,3,FALSE)),"",VLOOKUP(A22,datosestudiantes,3,FALSE))</f>
        <v>0</v>
      </c>
      <c r="D22" s="9">
        <f t="shared" si="5"/>
        <v>3.9</v>
      </c>
      <c r="E22" s="9">
        <f t="shared" si="6"/>
        <v>4.2</v>
      </c>
      <c r="F22" s="9">
        <f t="shared" si="7"/>
        <v>4</v>
      </c>
      <c r="G22" s="9">
        <f t="shared" si="8"/>
        <v>1</v>
      </c>
      <c r="H22" s="9">
        <f t="shared" si="9"/>
        <v>5</v>
      </c>
      <c r="I22" s="9">
        <f t="shared" si="10"/>
        <v>3.2</v>
      </c>
      <c r="J22" s="9">
        <f t="shared" si="11"/>
        <v>2.5</v>
      </c>
      <c r="K22" s="11">
        <f t="shared" si="12"/>
        <v>2.9750000000000001</v>
      </c>
      <c r="L22" s="11">
        <f t="shared" si="13"/>
        <v>0.89249999999999996</v>
      </c>
      <c r="M22" s="9">
        <f t="shared" si="14"/>
        <v>2.5</v>
      </c>
      <c r="N22" s="10">
        <f t="shared" si="15"/>
        <v>0.5</v>
      </c>
      <c r="O22" s="9">
        <f t="shared" si="1"/>
        <v>1.3</v>
      </c>
      <c r="P22" s="10">
        <f t="shared" si="16"/>
        <v>0.26</v>
      </c>
      <c r="Q22" s="11">
        <f t="shared" si="2"/>
        <v>3.1</v>
      </c>
      <c r="R22" s="10">
        <f t="shared" si="17"/>
        <v>0.31000000000000005</v>
      </c>
      <c r="S22" s="11">
        <f t="shared" si="3"/>
        <v>2.2999999999999998</v>
      </c>
      <c r="T22" s="10">
        <f t="shared" si="18"/>
        <v>0.22999999999999998</v>
      </c>
      <c r="U22" s="9">
        <f t="shared" si="4"/>
        <v>2.2000000000000002</v>
      </c>
      <c r="V22" s="21">
        <f t="shared" si="19"/>
        <v>0.22000000000000003</v>
      </c>
      <c r="W22" s="29">
        <f t="shared" si="20"/>
        <v>2.4125000000000001</v>
      </c>
      <c r="X22" s="30" t="str">
        <f t="shared" si="21"/>
        <v>REPROBADO</v>
      </c>
    </row>
    <row r="23" spans="1:24" ht="17.25" thickTop="1" thickBot="1" x14ac:dyDescent="0.3">
      <c r="A23" s="3">
        <v>10</v>
      </c>
      <c r="B23" s="3" t="str">
        <f t="shared" si="0"/>
        <v>ELEANY TRUJILLO</v>
      </c>
      <c r="C23" s="9">
        <f>IF(ISERROR(VLOOKUP(A23,datosestudiantes,3,FALSE)),"",VLOOKUP(A23,datosestudiantes,3,FALSE))</f>
        <v>3</v>
      </c>
      <c r="D23" s="9">
        <f t="shared" si="5"/>
        <v>4.9000000000000004</v>
      </c>
      <c r="E23" s="9">
        <f t="shared" si="6"/>
        <v>4.5</v>
      </c>
      <c r="F23" s="9">
        <f t="shared" si="7"/>
        <v>5</v>
      </c>
      <c r="G23" s="9">
        <f t="shared" si="8"/>
        <v>3.5</v>
      </c>
      <c r="H23" s="9">
        <f t="shared" si="9"/>
        <v>4.3</v>
      </c>
      <c r="I23" s="9">
        <f t="shared" si="10"/>
        <v>5</v>
      </c>
      <c r="J23" s="9">
        <f t="shared" si="11"/>
        <v>4.8</v>
      </c>
      <c r="K23" s="11">
        <f t="shared" si="12"/>
        <v>4.375</v>
      </c>
      <c r="L23" s="11">
        <f t="shared" si="13"/>
        <v>1.3125</v>
      </c>
      <c r="M23" s="9">
        <f t="shared" si="14"/>
        <v>3.8</v>
      </c>
      <c r="N23" s="10">
        <f t="shared" si="15"/>
        <v>0.76</v>
      </c>
      <c r="O23" s="9">
        <f t="shared" si="1"/>
        <v>5</v>
      </c>
      <c r="P23" s="10">
        <f t="shared" si="16"/>
        <v>1</v>
      </c>
      <c r="Q23" s="11">
        <f t="shared" si="2"/>
        <v>5</v>
      </c>
      <c r="R23" s="10">
        <f t="shared" si="17"/>
        <v>0.5</v>
      </c>
      <c r="S23" s="11">
        <f t="shared" si="3"/>
        <v>4.8</v>
      </c>
      <c r="T23" s="10">
        <f t="shared" si="18"/>
        <v>0.48</v>
      </c>
      <c r="U23" s="9">
        <f t="shared" si="4"/>
        <v>4.5</v>
      </c>
      <c r="V23" s="21">
        <f t="shared" si="19"/>
        <v>0.45</v>
      </c>
      <c r="W23" s="29">
        <f t="shared" si="20"/>
        <v>4.5025000000000004</v>
      </c>
      <c r="X23" s="30" t="str">
        <f t="shared" si="21"/>
        <v>APROBADO</v>
      </c>
    </row>
    <row r="24" spans="1:24" ht="17.25" thickTop="1" thickBot="1" x14ac:dyDescent="0.3">
      <c r="A24" s="3">
        <v>11</v>
      </c>
      <c r="B24" s="3" t="str">
        <f t="shared" si="0"/>
        <v>FREDY MONTES</v>
      </c>
      <c r="C24" s="9">
        <f>IF(ISERROR(VLOOKUP(A24,datosestudiantes,3,FALSE)),"",VLOOKUP(A24,datosestudiantes,3,FALSE))</f>
        <v>0.9</v>
      </c>
      <c r="D24" s="9">
        <f t="shared" si="5"/>
        <v>4.8</v>
      </c>
      <c r="E24" s="9">
        <f t="shared" si="6"/>
        <v>4.9000000000000004</v>
      </c>
      <c r="F24" s="9">
        <f t="shared" si="7"/>
        <v>3.6</v>
      </c>
      <c r="G24" s="9">
        <f t="shared" si="8"/>
        <v>5</v>
      </c>
      <c r="H24" s="9">
        <f t="shared" si="9"/>
        <v>3.5</v>
      </c>
      <c r="I24" s="9">
        <f t="shared" si="10"/>
        <v>4.8</v>
      </c>
      <c r="J24" s="9">
        <f t="shared" si="11"/>
        <v>4.5999999999999996</v>
      </c>
      <c r="K24" s="11">
        <f t="shared" si="12"/>
        <v>4.0125000000000002</v>
      </c>
      <c r="L24" s="11">
        <f t="shared" si="13"/>
        <v>1.2037500000000001</v>
      </c>
      <c r="M24" s="9">
        <f t="shared" si="14"/>
        <v>4.5</v>
      </c>
      <c r="N24" s="10">
        <f t="shared" si="15"/>
        <v>0.9</v>
      </c>
      <c r="O24" s="9">
        <f t="shared" si="1"/>
        <v>5</v>
      </c>
      <c r="P24" s="10">
        <f t="shared" si="16"/>
        <v>1</v>
      </c>
      <c r="Q24" s="11">
        <f t="shared" si="2"/>
        <v>4.3</v>
      </c>
      <c r="R24" s="10">
        <f t="shared" si="17"/>
        <v>0.43</v>
      </c>
      <c r="S24" s="11">
        <f t="shared" si="3"/>
        <v>4.5999999999999996</v>
      </c>
      <c r="T24" s="10">
        <f t="shared" si="18"/>
        <v>0.45999999999999996</v>
      </c>
      <c r="U24" s="9">
        <f t="shared" si="4"/>
        <v>3</v>
      </c>
      <c r="V24" s="21">
        <f t="shared" si="19"/>
        <v>0.30000000000000004</v>
      </c>
      <c r="W24" s="29">
        <f t="shared" si="20"/>
        <v>4.2937500000000002</v>
      </c>
      <c r="X24" s="30" t="str">
        <f t="shared" si="21"/>
        <v>APROBADO</v>
      </c>
    </row>
    <row r="25" spans="1:24" ht="17.25" thickTop="1" thickBot="1" x14ac:dyDescent="0.3">
      <c r="A25" s="3">
        <v>12</v>
      </c>
      <c r="B25" s="3" t="str">
        <f t="shared" si="0"/>
        <v>JHON TOBON</v>
      </c>
      <c r="C25" s="9">
        <f>IF(ISERROR(VLOOKUP(A25,datosestudiantes,3,FALSE)),"",VLOOKUP(A25,datosestudiantes,3,FALSE))</f>
        <v>1.2</v>
      </c>
      <c r="D25" s="9">
        <f t="shared" si="5"/>
        <v>2.6</v>
      </c>
      <c r="E25" s="9">
        <f t="shared" si="6"/>
        <v>5</v>
      </c>
      <c r="F25" s="9">
        <f t="shared" si="7"/>
        <v>4.5</v>
      </c>
      <c r="G25" s="9">
        <f t="shared" si="8"/>
        <v>5</v>
      </c>
      <c r="H25" s="9">
        <f t="shared" si="9"/>
        <v>4.0999999999999996</v>
      </c>
      <c r="I25" s="9">
        <f t="shared" si="10"/>
        <v>3.8</v>
      </c>
      <c r="J25" s="9">
        <f t="shared" si="11"/>
        <v>2.2000000000000002</v>
      </c>
      <c r="K25" s="11">
        <f t="shared" si="12"/>
        <v>3.55</v>
      </c>
      <c r="L25" s="11">
        <f t="shared" si="13"/>
        <v>1.0649999999999999</v>
      </c>
      <c r="M25" s="9">
        <f t="shared" si="14"/>
        <v>4.5</v>
      </c>
      <c r="N25" s="10">
        <f t="shared" si="15"/>
        <v>0.9</v>
      </c>
      <c r="O25" s="9">
        <f t="shared" si="1"/>
        <v>4</v>
      </c>
      <c r="P25" s="10">
        <f t="shared" si="16"/>
        <v>0.8</v>
      </c>
      <c r="Q25" s="11">
        <f t="shared" si="2"/>
        <v>3.5</v>
      </c>
      <c r="R25" s="10">
        <f t="shared" si="17"/>
        <v>0.35000000000000003</v>
      </c>
      <c r="S25" s="11">
        <f t="shared" si="3"/>
        <v>4.8</v>
      </c>
      <c r="T25" s="10">
        <f t="shared" si="18"/>
        <v>0.48</v>
      </c>
      <c r="U25" s="9">
        <f t="shared" si="4"/>
        <v>4.3</v>
      </c>
      <c r="V25" s="21">
        <f t="shared" si="19"/>
        <v>0.43</v>
      </c>
      <c r="W25" s="29">
        <f t="shared" si="20"/>
        <v>4.0249999999999995</v>
      </c>
      <c r="X25" s="30" t="str">
        <f t="shared" si="21"/>
        <v>APROBADO</v>
      </c>
    </row>
    <row r="26" spans="1:24" ht="17.25" thickTop="1" thickBot="1" x14ac:dyDescent="0.3">
      <c r="A26" s="3">
        <v>13</v>
      </c>
      <c r="B26" s="3" t="str">
        <f t="shared" si="0"/>
        <v>JOSE CIFUENTES</v>
      </c>
      <c r="C26" s="9">
        <f>IF(ISERROR(VLOOKUP(A26,datosestudiantes,3,FALSE)),"",VLOOKUP(A26,datosestudiantes,3,FALSE))</f>
        <v>5</v>
      </c>
      <c r="D26" s="9">
        <f t="shared" si="5"/>
        <v>5</v>
      </c>
      <c r="E26" s="9">
        <f t="shared" si="6"/>
        <v>5</v>
      </c>
      <c r="F26" s="9">
        <f t="shared" si="7"/>
        <v>2.9</v>
      </c>
      <c r="G26" s="9">
        <f t="shared" si="8"/>
        <v>5</v>
      </c>
      <c r="H26" s="9">
        <f t="shared" si="9"/>
        <v>3.8</v>
      </c>
      <c r="I26" s="9">
        <f t="shared" si="10"/>
        <v>4.2</v>
      </c>
      <c r="J26" s="9">
        <f t="shared" si="11"/>
        <v>4</v>
      </c>
      <c r="K26" s="11">
        <f t="shared" si="12"/>
        <v>4.3624999999999998</v>
      </c>
      <c r="L26" s="11">
        <f t="shared" si="13"/>
        <v>1.3087499999999999</v>
      </c>
      <c r="M26" s="9">
        <f t="shared" si="14"/>
        <v>4.5</v>
      </c>
      <c r="N26" s="10">
        <f t="shared" si="15"/>
        <v>0.9</v>
      </c>
      <c r="O26" s="9">
        <f t="shared" si="1"/>
        <v>4</v>
      </c>
      <c r="P26" s="10">
        <f t="shared" si="16"/>
        <v>0.8</v>
      </c>
      <c r="Q26" s="11">
        <f t="shared" si="2"/>
        <v>4.0999999999999996</v>
      </c>
      <c r="R26" s="10">
        <f t="shared" si="17"/>
        <v>0.41</v>
      </c>
      <c r="S26" s="11">
        <f t="shared" si="3"/>
        <v>3.1</v>
      </c>
      <c r="T26" s="10">
        <f t="shared" si="18"/>
        <v>0.31000000000000005</v>
      </c>
      <c r="U26" s="9">
        <f t="shared" si="4"/>
        <v>4.5</v>
      </c>
      <c r="V26" s="21">
        <f t="shared" si="19"/>
        <v>0.45</v>
      </c>
      <c r="W26" s="29">
        <f t="shared" si="20"/>
        <v>4.17875</v>
      </c>
      <c r="X26" s="30" t="str">
        <f t="shared" si="21"/>
        <v>APROBADO</v>
      </c>
    </row>
    <row r="27" spans="1:24" ht="17.25" thickTop="1" thickBot="1" x14ac:dyDescent="0.3">
      <c r="A27" s="3">
        <v>14</v>
      </c>
      <c r="B27" s="3" t="str">
        <f t="shared" si="0"/>
        <v>JOSE DAVID VERGARA</v>
      </c>
      <c r="C27" s="9">
        <f>IF(ISERROR(VLOOKUP(A27,datosestudiantes,3,FALSE)),"",VLOOKUP(A27,datosestudiantes,3,FALSE))</f>
        <v>5</v>
      </c>
      <c r="D27" s="9">
        <f t="shared" si="5"/>
        <v>4.5</v>
      </c>
      <c r="E27" s="9">
        <f t="shared" si="6"/>
        <v>5</v>
      </c>
      <c r="F27" s="9">
        <f t="shared" si="7"/>
        <v>3.2</v>
      </c>
      <c r="G27" s="9">
        <f t="shared" si="8"/>
        <v>4.5</v>
      </c>
      <c r="H27" s="9">
        <f t="shared" si="9"/>
        <v>4</v>
      </c>
      <c r="I27" s="9">
        <f t="shared" si="10"/>
        <v>4.8</v>
      </c>
      <c r="J27" s="9">
        <f t="shared" si="11"/>
        <v>5</v>
      </c>
      <c r="K27" s="11">
        <f t="shared" si="12"/>
        <v>4.5</v>
      </c>
      <c r="L27" s="11">
        <f t="shared" si="13"/>
        <v>1.3499999999999999</v>
      </c>
      <c r="M27" s="9">
        <f t="shared" si="14"/>
        <v>3.9</v>
      </c>
      <c r="N27" s="10">
        <f t="shared" si="15"/>
        <v>0.78</v>
      </c>
      <c r="O27" s="9">
        <f t="shared" si="1"/>
        <v>3.6</v>
      </c>
      <c r="P27" s="10">
        <f t="shared" si="16"/>
        <v>0.72000000000000008</v>
      </c>
      <c r="Q27" s="11">
        <f t="shared" si="2"/>
        <v>3.8</v>
      </c>
      <c r="R27" s="10">
        <f t="shared" si="17"/>
        <v>0.38</v>
      </c>
      <c r="S27" s="11">
        <f t="shared" si="3"/>
        <v>5</v>
      </c>
      <c r="T27" s="10">
        <f t="shared" si="18"/>
        <v>0.5</v>
      </c>
      <c r="U27" s="9">
        <f t="shared" si="4"/>
        <v>3</v>
      </c>
      <c r="V27" s="21">
        <f t="shared" si="19"/>
        <v>0.30000000000000004</v>
      </c>
      <c r="W27" s="29">
        <f t="shared" si="20"/>
        <v>4.03</v>
      </c>
      <c r="X27" s="30" t="str">
        <f t="shared" si="21"/>
        <v>APROBADO</v>
      </c>
    </row>
    <row r="28" spans="1:24" ht="17.25" thickTop="1" thickBot="1" x14ac:dyDescent="0.3">
      <c r="A28" s="3">
        <v>15</v>
      </c>
      <c r="B28" s="3" t="str">
        <f t="shared" si="0"/>
        <v>LAURA GONZALEZ</v>
      </c>
      <c r="C28" s="9">
        <f>IF(ISERROR(VLOOKUP(A28,datosestudiantes,3,FALSE)),"",VLOOKUP(A28,datosestudiantes,3,FALSE))</f>
        <v>5</v>
      </c>
      <c r="D28" s="9">
        <f t="shared" si="5"/>
        <v>4.2</v>
      </c>
      <c r="E28" s="9">
        <f t="shared" si="6"/>
        <v>4.5</v>
      </c>
      <c r="F28" s="9">
        <f t="shared" si="7"/>
        <v>2.5</v>
      </c>
      <c r="G28" s="9">
        <f t="shared" si="8"/>
        <v>5</v>
      </c>
      <c r="H28" s="9">
        <f t="shared" si="9"/>
        <v>3.9</v>
      </c>
      <c r="I28" s="9">
        <f t="shared" si="10"/>
        <v>5</v>
      </c>
      <c r="J28" s="9">
        <f t="shared" si="11"/>
        <v>4.8</v>
      </c>
      <c r="K28" s="11">
        <f t="shared" si="12"/>
        <v>4.3624999999999998</v>
      </c>
      <c r="L28" s="11">
        <f t="shared" si="13"/>
        <v>1.3087499999999999</v>
      </c>
      <c r="M28" s="9">
        <f t="shared" si="14"/>
        <v>0</v>
      </c>
      <c r="N28" s="10">
        <f t="shared" si="15"/>
        <v>0</v>
      </c>
      <c r="O28" s="9">
        <f t="shared" si="1"/>
        <v>3.1</v>
      </c>
      <c r="P28" s="10">
        <f t="shared" si="16"/>
        <v>0.62000000000000011</v>
      </c>
      <c r="Q28" s="11">
        <f t="shared" si="2"/>
        <v>4</v>
      </c>
      <c r="R28" s="10">
        <f t="shared" si="17"/>
        <v>0.4</v>
      </c>
      <c r="S28" s="11">
        <f t="shared" si="3"/>
        <v>4.3</v>
      </c>
      <c r="T28" s="10">
        <f t="shared" si="18"/>
        <v>0.43</v>
      </c>
      <c r="U28" s="9">
        <f t="shared" si="4"/>
        <v>4</v>
      </c>
      <c r="V28" s="21">
        <f t="shared" si="19"/>
        <v>0.4</v>
      </c>
      <c r="W28" s="29">
        <f t="shared" si="20"/>
        <v>3.1587499999999999</v>
      </c>
      <c r="X28" s="30" t="str">
        <f t="shared" si="21"/>
        <v>APROBADO</v>
      </c>
    </row>
    <row r="29" spans="1:24" ht="17.25" thickTop="1" thickBot="1" x14ac:dyDescent="0.3">
      <c r="A29" s="3">
        <v>16</v>
      </c>
      <c r="B29" s="3" t="str">
        <f t="shared" si="0"/>
        <v>LINA JARAMILLO</v>
      </c>
      <c r="C29" s="9">
        <f>IF(ISERROR(VLOOKUP(A29,datosestudiantes,3,FALSE)),"",VLOOKUP(A29,datosestudiantes,3,FALSE))</f>
        <v>4.9000000000000004</v>
      </c>
      <c r="D29" s="9">
        <f t="shared" si="5"/>
        <v>3.2</v>
      </c>
      <c r="E29" s="9">
        <f t="shared" si="6"/>
        <v>4.9000000000000004</v>
      </c>
      <c r="F29" s="9">
        <f t="shared" si="7"/>
        <v>3.5</v>
      </c>
      <c r="G29" s="9">
        <f t="shared" si="8"/>
        <v>3.9</v>
      </c>
      <c r="H29" s="9">
        <f t="shared" si="9"/>
        <v>4.5</v>
      </c>
      <c r="I29" s="9">
        <f t="shared" si="10"/>
        <v>3.5</v>
      </c>
      <c r="J29" s="9">
        <f t="shared" si="11"/>
        <v>4.5</v>
      </c>
      <c r="K29" s="11">
        <f t="shared" si="12"/>
        <v>4.1124999999999998</v>
      </c>
      <c r="L29" s="11">
        <f t="shared" si="13"/>
        <v>1.2337499999999999</v>
      </c>
      <c r="M29" s="9">
        <f t="shared" si="14"/>
        <v>4.8</v>
      </c>
      <c r="N29" s="10">
        <f t="shared" si="15"/>
        <v>0.96</v>
      </c>
      <c r="O29" s="9">
        <f t="shared" si="1"/>
        <v>3.7</v>
      </c>
      <c r="P29" s="10">
        <f t="shared" si="16"/>
        <v>0.7400000000000001</v>
      </c>
      <c r="Q29" s="11">
        <f t="shared" si="2"/>
        <v>3.9</v>
      </c>
      <c r="R29" s="10">
        <f t="shared" si="17"/>
        <v>0.39</v>
      </c>
      <c r="S29" s="11">
        <f t="shared" si="3"/>
        <v>3.5</v>
      </c>
      <c r="T29" s="10">
        <f t="shared" si="18"/>
        <v>0.35000000000000003</v>
      </c>
      <c r="U29" s="9">
        <f t="shared" si="4"/>
        <v>3.5</v>
      </c>
      <c r="V29" s="21">
        <f t="shared" si="19"/>
        <v>0.35000000000000003</v>
      </c>
      <c r="W29" s="29">
        <f t="shared" si="20"/>
        <v>4.0237499999999997</v>
      </c>
      <c r="X29" s="30" t="str">
        <f t="shared" si="21"/>
        <v>APROBADO</v>
      </c>
    </row>
    <row r="30" spans="1:24" ht="17.25" thickTop="1" thickBot="1" x14ac:dyDescent="0.3">
      <c r="A30" s="3">
        <v>17</v>
      </c>
      <c r="B30" s="3" t="str">
        <f t="shared" si="0"/>
        <v>OSMAIRA VELEZ</v>
      </c>
      <c r="C30" s="9">
        <f>IF(ISERROR(VLOOKUP(A30,datosestudiantes,3,FALSE)),"",VLOOKUP(A30,datosestudiantes,3,FALSE))</f>
        <v>3.9</v>
      </c>
      <c r="D30" s="9">
        <f t="shared" si="5"/>
        <v>5</v>
      </c>
      <c r="E30" s="9">
        <f t="shared" si="6"/>
        <v>4.8</v>
      </c>
      <c r="F30" s="9">
        <f t="shared" si="7"/>
        <v>4</v>
      </c>
      <c r="G30" s="9">
        <f t="shared" si="8"/>
        <v>5</v>
      </c>
      <c r="H30" s="9">
        <f t="shared" si="9"/>
        <v>5</v>
      </c>
      <c r="I30" s="9">
        <f t="shared" si="10"/>
        <v>2.2999999999999998</v>
      </c>
      <c r="J30" s="9">
        <f t="shared" si="11"/>
        <v>5</v>
      </c>
      <c r="K30" s="11">
        <f t="shared" si="12"/>
        <v>4.375</v>
      </c>
      <c r="L30" s="11">
        <f t="shared" si="13"/>
        <v>1.3125</v>
      </c>
      <c r="M30" s="9">
        <f t="shared" si="14"/>
        <v>3.7</v>
      </c>
      <c r="N30" s="10">
        <f t="shared" si="15"/>
        <v>0.7400000000000001</v>
      </c>
      <c r="O30" s="9">
        <f t="shared" si="1"/>
        <v>4.5</v>
      </c>
      <c r="P30" s="10">
        <f t="shared" si="16"/>
        <v>0.9</v>
      </c>
      <c r="Q30" s="11">
        <f t="shared" si="2"/>
        <v>4.5</v>
      </c>
      <c r="R30" s="10">
        <f t="shared" si="17"/>
        <v>0.45</v>
      </c>
      <c r="S30" s="11">
        <f t="shared" si="3"/>
        <v>4.0999999999999996</v>
      </c>
      <c r="T30" s="10">
        <f t="shared" si="18"/>
        <v>0.41</v>
      </c>
      <c r="U30" s="9">
        <f t="shared" si="4"/>
        <v>4.5</v>
      </c>
      <c r="V30" s="21">
        <f t="shared" si="19"/>
        <v>0.45</v>
      </c>
      <c r="W30" s="29">
        <f t="shared" si="20"/>
        <v>4.2625000000000002</v>
      </c>
      <c r="X30" s="30" t="str">
        <f t="shared" si="21"/>
        <v>APROBADO</v>
      </c>
    </row>
    <row r="31" spans="1:24" ht="17.25" thickTop="1" thickBot="1" x14ac:dyDescent="0.3">
      <c r="A31" s="3">
        <v>18</v>
      </c>
      <c r="B31" s="3" t="str">
        <f t="shared" si="0"/>
        <v>PABLO GOMEZ</v>
      </c>
      <c r="C31" s="9">
        <f>IF(ISERROR(VLOOKUP(A31,datosestudiantes,3,FALSE)),"",VLOOKUP(A31,datosestudiantes,3,FALSE))</f>
        <v>3.8</v>
      </c>
      <c r="D31" s="9">
        <f t="shared" si="5"/>
        <v>4.8</v>
      </c>
      <c r="E31" s="9">
        <f t="shared" si="6"/>
        <v>4.5999999999999996</v>
      </c>
      <c r="F31" s="9">
        <f t="shared" si="7"/>
        <v>5</v>
      </c>
      <c r="G31" s="9">
        <f t="shared" si="8"/>
        <v>5</v>
      </c>
      <c r="H31" s="9">
        <f t="shared" si="9"/>
        <v>3.4</v>
      </c>
      <c r="I31" s="9">
        <f t="shared" si="10"/>
        <v>2.9</v>
      </c>
      <c r="J31" s="9">
        <f t="shared" si="11"/>
        <v>1</v>
      </c>
      <c r="K31" s="11">
        <f t="shared" si="12"/>
        <v>3.8124999999999996</v>
      </c>
      <c r="L31" s="11">
        <f t="shared" si="13"/>
        <v>1.1437499999999998</v>
      </c>
      <c r="M31" s="9">
        <f t="shared" si="14"/>
        <v>3.8</v>
      </c>
      <c r="N31" s="10">
        <f t="shared" si="15"/>
        <v>0.76</v>
      </c>
      <c r="O31" s="9">
        <f t="shared" si="1"/>
        <v>5</v>
      </c>
      <c r="P31" s="10">
        <f t="shared" si="16"/>
        <v>1</v>
      </c>
      <c r="Q31" s="11">
        <f t="shared" si="2"/>
        <v>5</v>
      </c>
      <c r="R31" s="10">
        <f t="shared" si="17"/>
        <v>0.5</v>
      </c>
      <c r="S31" s="11">
        <f t="shared" si="3"/>
        <v>3.8</v>
      </c>
      <c r="T31" s="10">
        <f t="shared" si="18"/>
        <v>0.38</v>
      </c>
      <c r="U31" s="9">
        <f t="shared" si="4"/>
        <v>4.5</v>
      </c>
      <c r="V31" s="21">
        <f t="shared" si="19"/>
        <v>0.45</v>
      </c>
      <c r="W31" s="29">
        <f t="shared" si="20"/>
        <v>4.2337499999999997</v>
      </c>
      <c r="X31" s="30" t="str">
        <f t="shared" si="21"/>
        <v>APROBADO</v>
      </c>
    </row>
    <row r="32" spans="1:24" ht="17.25" thickTop="1" thickBot="1" x14ac:dyDescent="0.3">
      <c r="A32" s="3"/>
      <c r="B32" s="3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0"/>
      <c r="O32" s="11"/>
      <c r="P32" s="10"/>
      <c r="Q32" s="11"/>
      <c r="R32" s="10"/>
      <c r="S32" s="11"/>
      <c r="T32" s="10"/>
      <c r="U32" s="11"/>
      <c r="V32" s="21"/>
      <c r="W32" s="31"/>
      <c r="X32" s="32"/>
    </row>
    <row r="33" spans="19:24" ht="16.5" thickTop="1" x14ac:dyDescent="0.25">
      <c r="S33" s="4"/>
    </row>
    <row r="36" spans="19:24" x14ac:dyDescent="0.25">
      <c r="T36" s="14"/>
      <c r="W36" s="23" t="s">
        <v>46</v>
      </c>
      <c r="X36" s="22">
        <f>MAX(W14:W31)</f>
        <v>4.5025000000000004</v>
      </c>
    </row>
    <row r="37" spans="19:24" x14ac:dyDescent="0.25">
      <c r="W37" s="24" t="s">
        <v>45</v>
      </c>
      <c r="X37" s="22">
        <f>MIN(W14:W31)</f>
        <v>2.4125000000000001</v>
      </c>
    </row>
    <row r="38" spans="19:24" x14ac:dyDescent="0.25">
      <c r="W38" s="24" t="s">
        <v>44</v>
      </c>
      <c r="X38" s="22">
        <f>AVERAGE(W14:W31)</f>
        <v>3.8225694444444449</v>
      </c>
    </row>
    <row r="157" spans="23:23" ht="16.5" thickBot="1" x14ac:dyDescent="0.3"/>
    <row r="158" spans="23:23" ht="17.25" thickTop="1" thickBot="1" x14ac:dyDescent="0.3">
      <c r="W158" s="13"/>
    </row>
    <row r="159" spans="23:23" ht="17.25" thickTop="1" thickBot="1" x14ac:dyDescent="0.3">
      <c r="W159" s="13"/>
    </row>
    <row r="160" spans="23:23" ht="16.5" thickTop="1" x14ac:dyDescent="0.25"/>
  </sheetData>
  <mergeCells count="5">
    <mergeCell ref="A9:V10"/>
    <mergeCell ref="A11:V11"/>
    <mergeCell ref="A12:B13"/>
    <mergeCell ref="C12:J12"/>
    <mergeCell ref="C13:J1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5"/>
  <sheetViews>
    <sheetView workbookViewId="0">
      <selection activeCell="D7" sqref="D7"/>
    </sheetView>
  </sheetViews>
  <sheetFormatPr baseColWidth="10" defaultRowHeight="15" x14ac:dyDescent="0.25"/>
  <cols>
    <col min="1" max="1" width="13.28515625" customWidth="1"/>
    <col min="2" max="2" width="5.140625" customWidth="1"/>
    <col min="3" max="3" width="12.85546875" bestFit="1" customWidth="1"/>
    <col min="4" max="4" width="49.85546875" customWidth="1"/>
    <col min="5" max="5" width="3.7109375" customWidth="1"/>
  </cols>
  <sheetData>
    <row r="2" spans="2:5" x14ac:dyDescent="0.25">
      <c r="B2" s="18"/>
      <c r="C2" s="18"/>
      <c r="D2" s="18"/>
      <c r="E2" s="18"/>
    </row>
    <row r="3" spans="2:5" x14ac:dyDescent="0.25">
      <c r="B3" s="18"/>
      <c r="D3" s="41" t="s">
        <v>41</v>
      </c>
      <c r="E3" s="18"/>
    </row>
    <row r="4" spans="2:5" x14ac:dyDescent="0.25">
      <c r="B4" s="18"/>
      <c r="D4" s="41"/>
      <c r="E4" s="18"/>
    </row>
    <row r="5" spans="2:5" x14ac:dyDescent="0.25">
      <c r="B5" s="18"/>
      <c r="D5" s="41"/>
      <c r="E5" s="18"/>
    </row>
    <row r="6" spans="2:5" x14ac:dyDescent="0.25">
      <c r="B6" s="18"/>
      <c r="C6" t="s">
        <v>34</v>
      </c>
      <c r="D6">
        <v>1</v>
      </c>
      <c r="E6" s="18"/>
    </row>
    <row r="7" spans="2:5" x14ac:dyDescent="0.25">
      <c r="B7" s="18"/>
      <c r="C7" t="s">
        <v>35</v>
      </c>
      <c r="D7" t="str">
        <f>VLOOKUP(D6,planilladenotas,2,FALSE)</f>
        <v>ALEJANDRO SEPULVEDA</v>
      </c>
      <c r="E7" s="18"/>
    </row>
    <row r="8" spans="2:5" x14ac:dyDescent="0.25">
      <c r="B8" s="18"/>
      <c r="C8" t="s">
        <v>36</v>
      </c>
      <c r="E8" s="18"/>
    </row>
    <row r="9" spans="2:5" x14ac:dyDescent="0.25">
      <c r="B9" s="18"/>
      <c r="C9" t="s">
        <v>37</v>
      </c>
      <c r="E9" s="18"/>
    </row>
    <row r="10" spans="2:5" x14ac:dyDescent="0.25">
      <c r="B10" s="18"/>
      <c r="C10" t="s">
        <v>37</v>
      </c>
      <c r="E10" s="18"/>
    </row>
    <row r="11" spans="2:5" x14ac:dyDescent="0.25">
      <c r="B11" s="18"/>
      <c r="C11" t="s">
        <v>38</v>
      </c>
      <c r="E11" s="18"/>
    </row>
    <row r="12" spans="2:5" x14ac:dyDescent="0.25">
      <c r="B12" s="18"/>
      <c r="C12" t="s">
        <v>39</v>
      </c>
      <c r="E12" s="18"/>
    </row>
    <row r="13" spans="2:5" x14ac:dyDescent="0.25">
      <c r="B13" s="18"/>
      <c r="C13" t="s">
        <v>40</v>
      </c>
      <c r="E13" s="18"/>
    </row>
    <row r="14" spans="2:5" x14ac:dyDescent="0.25">
      <c r="B14" s="18"/>
      <c r="E14" s="18"/>
    </row>
    <row r="15" spans="2:5" x14ac:dyDescent="0.25">
      <c r="B15" s="18"/>
      <c r="C15" s="18"/>
      <c r="D15" s="18"/>
      <c r="E15" s="18"/>
    </row>
  </sheetData>
  <mergeCells count="1">
    <mergeCell ref="D3:D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Datos Estudiantes</vt:lpstr>
      <vt:lpstr>Planilla Notas</vt:lpstr>
      <vt:lpstr>Informe estudiante</vt:lpstr>
      <vt:lpstr>datosestudiantes</vt:lpstr>
      <vt:lpstr>planilladenotas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 paola marin valencia</dc:creator>
  <cp:lastModifiedBy>01062-02</cp:lastModifiedBy>
  <cp:lastPrinted>2012-10-29T02:26:38Z</cp:lastPrinted>
  <dcterms:created xsi:type="dcterms:W3CDTF">2012-10-28T21:45:19Z</dcterms:created>
  <dcterms:modified xsi:type="dcterms:W3CDTF">2015-11-07T13:23:51Z</dcterms:modified>
</cp:coreProperties>
</file>